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03賦課係\03国保税\10税額試算\税額試算表【R7専用】\"/>
    </mc:Choice>
  </mc:AlternateContent>
  <bookViews>
    <workbookView xWindow="0" yWindow="0" windowWidth="28800" windowHeight="11775" tabRatio="928"/>
  </bookViews>
  <sheets>
    <sheet name="入力用" sheetId="1" r:id="rId1"/>
    <sheet name="税額計算" sheetId="7" state="hidden" r:id="rId2"/>
    <sheet name="振分期別表" sheetId="8" state="hidden" r:id="rId3"/>
    <sheet name="給与所得計算" sheetId="2" state="hidden" r:id="rId4"/>
    <sheet name="年金所得計算" sheetId="4" state="hidden" r:id="rId5"/>
    <sheet name="基礎控除計算" sheetId="6" state="hidden" r:id="rId6"/>
    <sheet name="軽減判定" sheetId="13" state="hidden" r:id="rId7"/>
  </sheets>
  <definedNames>
    <definedName name="H28年度課税確認対象者" localSheetId="5">#REF!</definedName>
    <definedName name="H28年度課税確認対象者" localSheetId="6">#REF!</definedName>
    <definedName name="H28年度課税確認対象者" localSheetId="4">#REF!</definedName>
    <definedName name="H28年度課税確認対象者">#REF!</definedName>
    <definedName name="_xlnm.Print_Area" localSheetId="0">入力用!$E$1:$AH$39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 i="1" l="1"/>
  <c r="S4" i="1"/>
  <c r="S36" i="1" l="1"/>
  <c r="Q36" i="1"/>
  <c r="L5" i="7" l="1"/>
  <c r="L6" i="7"/>
  <c r="L7" i="7"/>
  <c r="L4" i="7"/>
  <c r="D16" i="13" l="1"/>
  <c r="AI16" i="13" s="1"/>
  <c r="D8" i="13"/>
  <c r="AI8" i="13" s="1"/>
  <c r="D9" i="13"/>
  <c r="AI9" i="13" s="1"/>
  <c r="D10" i="13"/>
  <c r="AI10" i="13" s="1"/>
  <c r="D11" i="13"/>
  <c r="AI11" i="13" s="1"/>
  <c r="D12" i="13"/>
  <c r="AI12" i="13" s="1"/>
  <c r="D13" i="13"/>
  <c r="AI13" i="13" s="1"/>
  <c r="D14" i="13"/>
  <c r="AI14" i="13" s="1"/>
  <c r="D15" i="13"/>
  <c r="AI15" i="13" s="1"/>
  <c r="D7" i="13"/>
  <c r="AI7" i="13" l="1"/>
  <c r="AI17" i="13" s="1"/>
  <c r="D3" i="13" l="1"/>
  <c r="T3" i="13" s="1"/>
  <c r="W8" i="13"/>
  <c r="W9" i="13"/>
  <c r="W10" i="13"/>
  <c r="W11" i="13"/>
  <c r="W12" i="13"/>
  <c r="W13" i="13"/>
  <c r="W14" i="13"/>
  <c r="W15" i="13"/>
  <c r="W16" i="13"/>
  <c r="W7" i="13"/>
  <c r="N8" i="13"/>
  <c r="N9" i="13"/>
  <c r="N10" i="13"/>
  <c r="N11" i="13"/>
  <c r="N12" i="13"/>
  <c r="N13" i="13"/>
  <c r="N14" i="13"/>
  <c r="N15" i="13"/>
  <c r="N16" i="13"/>
  <c r="N7" i="13"/>
  <c r="H8" i="13"/>
  <c r="H9" i="13"/>
  <c r="H10" i="13"/>
  <c r="H11" i="13"/>
  <c r="H12" i="13"/>
  <c r="H13" i="13"/>
  <c r="H14" i="13"/>
  <c r="H15" i="13"/>
  <c r="H16" i="13"/>
  <c r="H7" i="13"/>
  <c r="F8" i="13"/>
  <c r="F9" i="13"/>
  <c r="F10" i="13"/>
  <c r="F11" i="13"/>
  <c r="F12" i="13"/>
  <c r="F13" i="13"/>
  <c r="F14" i="13"/>
  <c r="F15" i="13"/>
  <c r="F16" i="13"/>
  <c r="F7" i="13"/>
  <c r="AJ7" i="13" l="1"/>
  <c r="AJ13" i="13"/>
  <c r="AJ9" i="13"/>
  <c r="AJ16" i="13"/>
  <c r="AJ12" i="13"/>
  <c r="AJ8" i="13"/>
  <c r="AJ15" i="13"/>
  <c r="AJ11" i="13"/>
  <c r="AJ14" i="13"/>
  <c r="AJ10" i="13"/>
  <c r="AF2" i="1"/>
  <c r="AJ17" i="13" l="1"/>
  <c r="S26" i="13" s="1"/>
  <c r="S24" i="13" l="1"/>
  <c r="S25" i="13"/>
  <c r="P38" i="1" l="1"/>
  <c r="J26" i="1" l="1"/>
  <c r="U2" i="1" l="1"/>
  <c r="J21" i="1" l="1"/>
  <c r="L21" i="1"/>
  <c r="J22" i="1"/>
  <c r="L22" i="1"/>
  <c r="J23" i="1"/>
  <c r="L23" i="1"/>
  <c r="J24" i="1"/>
  <c r="L24" i="1"/>
  <c r="H23" i="1"/>
  <c r="H24" i="1"/>
  <c r="H22" i="1"/>
  <c r="H21" i="1"/>
  <c r="D15" i="7" l="1"/>
  <c r="D28" i="7" s="1"/>
  <c r="D41" i="7" s="1"/>
  <c r="D16" i="7"/>
  <c r="D29" i="7" s="1"/>
  <c r="D42" i="7" s="1"/>
  <c r="D17" i="7"/>
  <c r="D18" i="7"/>
  <c r="D31" i="7" s="1"/>
  <c r="D44" i="7" s="1"/>
  <c r="D19" i="7"/>
  <c r="D32" i="7" s="1"/>
  <c r="D45" i="7" s="1"/>
  <c r="D20" i="7"/>
  <c r="D33" i="7" s="1"/>
  <c r="D46" i="7" s="1"/>
  <c r="D21" i="7"/>
  <c r="D34" i="7" s="1"/>
  <c r="D47" i="7" s="1"/>
  <c r="D22" i="7"/>
  <c r="D35" i="7" s="1"/>
  <c r="D48" i="7" s="1"/>
  <c r="D23" i="7"/>
  <c r="D14" i="7"/>
  <c r="D27" i="7" s="1"/>
  <c r="D40" i="7" s="1"/>
  <c r="P9" i="6"/>
  <c r="L9" i="6"/>
  <c r="M9" i="6"/>
  <c r="N9" i="6"/>
  <c r="O9" i="6"/>
  <c r="P21" i="4"/>
  <c r="Q21" i="4"/>
  <c r="R21" i="4"/>
  <c r="S21" i="4"/>
  <c r="T21" i="4"/>
  <c r="T6" i="4"/>
  <c r="S6" i="4"/>
  <c r="R6" i="4"/>
  <c r="Q6" i="4"/>
  <c r="P6" i="4"/>
  <c r="T4" i="4"/>
  <c r="S4" i="4"/>
  <c r="R4" i="4"/>
  <c r="Q4" i="4"/>
  <c r="P4" i="4"/>
  <c r="P6" i="2"/>
  <c r="Q6" i="2"/>
  <c r="R6" i="2"/>
  <c r="S6" i="2"/>
  <c r="T6" i="2"/>
  <c r="T4" i="2"/>
  <c r="T12" i="2" s="1"/>
  <c r="S4" i="2"/>
  <c r="S11" i="2" s="1"/>
  <c r="R4" i="2"/>
  <c r="R7" i="2" s="1"/>
  <c r="Q4" i="2"/>
  <c r="Q8" i="2" s="1"/>
  <c r="P4" i="2"/>
  <c r="S16" i="2" l="1"/>
  <c r="S13" i="2"/>
  <c r="S8" i="2"/>
  <c r="Q11" i="2"/>
  <c r="S15" i="2"/>
  <c r="Q13" i="2"/>
  <c r="S10" i="2"/>
  <c r="S7" i="2"/>
  <c r="Q15" i="2"/>
  <c r="S12" i="2"/>
  <c r="S9" i="2"/>
  <c r="Q7" i="2"/>
  <c r="S14" i="2"/>
  <c r="Q9" i="2"/>
  <c r="P12" i="2"/>
  <c r="P7" i="2"/>
  <c r="P8" i="2"/>
  <c r="P9" i="2"/>
  <c r="P10" i="2"/>
  <c r="P11" i="2"/>
  <c r="P13" i="2"/>
  <c r="P14" i="2"/>
  <c r="P15" i="2"/>
  <c r="P16" i="2"/>
  <c r="T9" i="2"/>
  <c r="T15" i="2"/>
  <c r="T11" i="2"/>
  <c r="T7" i="2"/>
  <c r="T14" i="2"/>
  <c r="T10" i="2"/>
  <c r="T13" i="2"/>
  <c r="T16" i="2"/>
  <c r="Q16" i="2"/>
  <c r="Q14" i="2"/>
  <c r="Q12" i="2"/>
  <c r="Q10" i="2"/>
  <c r="T8" i="2"/>
  <c r="R16" i="2"/>
  <c r="R15" i="2"/>
  <c r="R14" i="2"/>
  <c r="R13" i="2"/>
  <c r="R12" i="2"/>
  <c r="R11" i="2"/>
  <c r="R10" i="2"/>
  <c r="R9" i="2"/>
  <c r="R8" i="2"/>
  <c r="D30" i="7"/>
  <c r="D43" i="7" s="1"/>
  <c r="D36" i="7"/>
  <c r="D49" i="7" s="1"/>
  <c r="B4" i="7"/>
  <c r="D3" i="6"/>
  <c r="D3" i="4"/>
  <c r="C3" i="2"/>
  <c r="F6" i="4" l="1"/>
  <c r="S13" i="4" s="1"/>
  <c r="S17" i="2"/>
  <c r="R16" i="4"/>
  <c r="S15" i="4"/>
  <c r="Q17" i="4"/>
  <c r="S8" i="4"/>
  <c r="Q11" i="4"/>
  <c r="R11" i="4"/>
  <c r="R15" i="4"/>
  <c r="T14" i="4"/>
  <c r="P16" i="4"/>
  <c r="S10" i="4"/>
  <c r="S14" i="4"/>
  <c r="Q16" i="4"/>
  <c r="T10" i="4"/>
  <c r="R13" i="4"/>
  <c r="Q17" i="2"/>
  <c r="Q13" i="4"/>
  <c r="S12" i="4"/>
  <c r="Q10" i="4"/>
  <c r="Q15" i="4"/>
  <c r="R10" i="4"/>
  <c r="R14" i="4"/>
  <c r="T9" i="4"/>
  <c r="P11" i="4"/>
  <c r="P15" i="4"/>
  <c r="S9" i="4"/>
  <c r="P13" i="4"/>
  <c r="Q8" i="4"/>
  <c r="T11" i="4"/>
  <c r="P9" i="4"/>
  <c r="S11" i="4"/>
  <c r="P12" i="4"/>
  <c r="R17" i="2"/>
  <c r="R17" i="4"/>
  <c r="Q12" i="4"/>
  <c r="T17" i="2"/>
  <c r="P8" i="4"/>
  <c r="T17" i="4"/>
  <c r="Q9" i="4"/>
  <c r="R9" i="4"/>
  <c r="T13" i="4"/>
  <c r="T15" i="4"/>
  <c r="P10" i="4"/>
  <c r="P14" i="4"/>
  <c r="S16" i="4"/>
  <c r="T12" i="4"/>
  <c r="P17" i="2"/>
  <c r="B70" i="7"/>
  <c r="B58" i="7"/>
  <c r="B67" i="7"/>
  <c r="B61" i="7"/>
  <c r="B64" i="7"/>
  <c r="R8" i="4" l="1"/>
  <c r="P17" i="4"/>
  <c r="T8" i="4"/>
  <c r="T16" i="4"/>
  <c r="Q14" i="4"/>
  <c r="R12" i="4"/>
  <c r="S17" i="4"/>
  <c r="O13" i="1"/>
  <c r="P22" i="2"/>
  <c r="O15" i="1"/>
  <c r="R22" i="2"/>
  <c r="O17" i="1"/>
  <c r="T22" i="2"/>
  <c r="O14" i="1"/>
  <c r="Q22" i="2"/>
  <c r="O16" i="1"/>
  <c r="S22" i="2"/>
  <c r="E17" i="7"/>
  <c r="J17" i="7" s="1"/>
  <c r="E23" i="7"/>
  <c r="J23" i="7" s="1"/>
  <c r="E19" i="7"/>
  <c r="J19" i="7" s="1"/>
  <c r="E15" i="7"/>
  <c r="J15" i="7" s="1"/>
  <c r="E16" i="7"/>
  <c r="J16" i="7" s="1"/>
  <c r="E14" i="7"/>
  <c r="J14" i="7" s="1"/>
  <c r="E21" i="7"/>
  <c r="J21" i="7" s="1"/>
  <c r="E22" i="7"/>
  <c r="J22" i="7" s="1"/>
  <c r="E20" i="7"/>
  <c r="J20" i="7" s="1"/>
  <c r="E18" i="7"/>
  <c r="J18" i="7" s="1"/>
  <c r="K9" i="6"/>
  <c r="H9" i="6"/>
  <c r="I9" i="6"/>
  <c r="J9" i="6"/>
  <c r="G9" i="6"/>
  <c r="C9" i="6"/>
  <c r="C8" i="6"/>
  <c r="C7" i="6"/>
  <c r="R5" i="4" l="1"/>
  <c r="K14" i="13"/>
  <c r="Q5" i="4"/>
  <c r="K13" i="13"/>
  <c r="S5" i="4"/>
  <c r="K15" i="13"/>
  <c r="T5" i="4"/>
  <c r="K16" i="13"/>
  <c r="P5" i="4"/>
  <c r="P22" i="4" s="1"/>
  <c r="K12" i="13"/>
  <c r="E32" i="7"/>
  <c r="H19" i="7"/>
  <c r="E31" i="7"/>
  <c r="H18" i="7"/>
  <c r="E36" i="7"/>
  <c r="H23" i="7"/>
  <c r="E34" i="7"/>
  <c r="H21" i="7"/>
  <c r="E33" i="7"/>
  <c r="H20" i="7"/>
  <c r="E29" i="7"/>
  <c r="E30" i="7"/>
  <c r="E35" i="7"/>
  <c r="H22" i="7"/>
  <c r="P23" i="4"/>
  <c r="E27" i="7"/>
  <c r="E28" i="7"/>
  <c r="J24" i="7"/>
  <c r="O21" i="4"/>
  <c r="L21" i="4"/>
  <c r="M21" i="4"/>
  <c r="N21" i="4"/>
  <c r="K6" i="4"/>
  <c r="K4" i="4"/>
  <c r="K21" i="4"/>
  <c r="C23" i="4"/>
  <c r="C22" i="4"/>
  <c r="L4" i="4"/>
  <c r="E16" i="4"/>
  <c r="E15" i="4"/>
  <c r="E14" i="4"/>
  <c r="E13" i="4"/>
  <c r="O6" i="4"/>
  <c r="N6" i="4"/>
  <c r="M6" i="4"/>
  <c r="L6" i="4"/>
  <c r="Z13" i="13" l="1"/>
  <c r="T22" i="4"/>
  <c r="T23" i="4"/>
  <c r="Q23" i="4"/>
  <c r="Q22" i="4"/>
  <c r="K9" i="4"/>
  <c r="K8" i="4"/>
  <c r="Z12" i="13"/>
  <c r="Z15" i="13"/>
  <c r="Z14" i="13"/>
  <c r="Z16" i="13"/>
  <c r="S23" i="4"/>
  <c r="S22" i="4"/>
  <c r="R23" i="4"/>
  <c r="R22" i="4"/>
  <c r="E42" i="7"/>
  <c r="J42" i="7" s="1"/>
  <c r="M24" i="7"/>
  <c r="J37" i="7"/>
  <c r="M37" i="7" s="1"/>
  <c r="E43" i="7"/>
  <c r="J43" i="7" s="1"/>
  <c r="E46" i="7"/>
  <c r="J46" i="7" s="1"/>
  <c r="H33" i="7"/>
  <c r="E49" i="7"/>
  <c r="J49" i="7" s="1"/>
  <c r="H36" i="7"/>
  <c r="E44" i="7"/>
  <c r="J44" i="7" s="1"/>
  <c r="H31" i="7"/>
  <c r="E41" i="7"/>
  <c r="J41" i="7" s="1"/>
  <c r="E40" i="7"/>
  <c r="J40" i="7" s="1"/>
  <c r="E48" i="7"/>
  <c r="J48" i="7" s="1"/>
  <c r="H35" i="7"/>
  <c r="E47" i="7"/>
  <c r="J47" i="7" s="1"/>
  <c r="H34" i="7"/>
  <c r="E45" i="7"/>
  <c r="J45" i="7" s="1"/>
  <c r="H32" i="7"/>
  <c r="L14" i="4"/>
  <c r="L15" i="4"/>
  <c r="L16" i="4"/>
  <c r="L9" i="4"/>
  <c r="L10" i="4"/>
  <c r="L11" i="4"/>
  <c r="K14" i="4"/>
  <c r="K11" i="4"/>
  <c r="K15" i="4"/>
  <c r="K16" i="4"/>
  <c r="K10" i="4"/>
  <c r="P24" i="4"/>
  <c r="J32" i="7"/>
  <c r="J35" i="7"/>
  <c r="J30" i="7"/>
  <c r="J33" i="7"/>
  <c r="J34" i="7"/>
  <c r="J29" i="7"/>
  <c r="J28" i="7"/>
  <c r="J36" i="7"/>
  <c r="J31" i="7"/>
  <c r="J27" i="7"/>
  <c r="L12" i="4"/>
  <c r="L8" i="4"/>
  <c r="L13" i="4"/>
  <c r="L17" i="4"/>
  <c r="K13" i="4"/>
  <c r="K12" i="4"/>
  <c r="R24" i="4" l="1"/>
  <c r="R23" i="2" s="1"/>
  <c r="R24" i="2" s="1"/>
  <c r="AA15" i="1" s="1"/>
  <c r="H42" i="7"/>
  <c r="S24" i="4"/>
  <c r="Q24" i="4"/>
  <c r="T24" i="4"/>
  <c r="U13" i="1"/>
  <c r="Q12" i="13" s="1"/>
  <c r="T12" i="13" s="1"/>
  <c r="P23" i="2"/>
  <c r="P24" i="2" s="1"/>
  <c r="AA13" i="1" s="1"/>
  <c r="H44" i="7"/>
  <c r="H46" i="7"/>
  <c r="H49" i="7"/>
  <c r="H47" i="7"/>
  <c r="H45" i="7"/>
  <c r="H48" i="7"/>
  <c r="H43" i="7"/>
  <c r="O4" i="4"/>
  <c r="N4" i="4"/>
  <c r="M4" i="4"/>
  <c r="O6" i="2"/>
  <c r="N6" i="2"/>
  <c r="M6" i="2"/>
  <c r="L6" i="2"/>
  <c r="O4" i="2"/>
  <c r="N4" i="2"/>
  <c r="M4" i="2"/>
  <c r="L4" i="2"/>
  <c r="K4" i="2"/>
  <c r="U15" i="1" l="1"/>
  <c r="L4" i="6"/>
  <c r="L7" i="6" s="1"/>
  <c r="U16" i="1"/>
  <c r="S23" i="2"/>
  <c r="S24" i="2" s="1"/>
  <c r="AA16" i="1" s="1"/>
  <c r="U14" i="1"/>
  <c r="Q23" i="2"/>
  <c r="Q24" i="2" s="1"/>
  <c r="AA14" i="1" s="1"/>
  <c r="T23" i="2"/>
  <c r="T24" i="2" s="1"/>
  <c r="AA17" i="1" s="1"/>
  <c r="U17" i="1"/>
  <c r="AB12" i="13"/>
  <c r="AD12" i="13" s="1"/>
  <c r="AF12" i="13" s="1"/>
  <c r="J50" i="7"/>
  <c r="M50" i="7" s="1"/>
  <c r="F21" i="7"/>
  <c r="G21" i="7" s="1"/>
  <c r="I21" i="7" s="1"/>
  <c r="L21" i="7" s="1"/>
  <c r="F47" i="7"/>
  <c r="G47" i="7" s="1"/>
  <c r="F48" i="7"/>
  <c r="G48" i="7" s="1"/>
  <c r="F22" i="7"/>
  <c r="F49" i="7"/>
  <c r="G49" i="7" s="1"/>
  <c r="F23" i="7"/>
  <c r="O16" i="4"/>
  <c r="O15" i="4"/>
  <c r="O14" i="4"/>
  <c r="N14" i="4"/>
  <c r="N15" i="4"/>
  <c r="N16" i="4"/>
  <c r="M14" i="4"/>
  <c r="M15" i="4"/>
  <c r="M16" i="4"/>
  <c r="M9" i="4"/>
  <c r="M10" i="4"/>
  <c r="M11" i="4"/>
  <c r="N9" i="4"/>
  <c r="N10" i="4"/>
  <c r="N11" i="4"/>
  <c r="O11" i="4"/>
  <c r="O9" i="4"/>
  <c r="O10" i="4"/>
  <c r="N17" i="4"/>
  <c r="N13" i="4"/>
  <c r="M17" i="4"/>
  <c r="M13" i="4"/>
  <c r="O17" i="4"/>
  <c r="O13" i="4"/>
  <c r="N8" i="4"/>
  <c r="O8" i="4"/>
  <c r="M8" i="4"/>
  <c r="K17" i="4"/>
  <c r="L6" i="6" l="1"/>
  <c r="L8" i="6"/>
  <c r="Q14" i="13"/>
  <c r="T14" i="13" s="1"/>
  <c r="N4" i="6"/>
  <c r="Q13" i="13"/>
  <c r="T13" i="13" s="1"/>
  <c r="M4" i="6"/>
  <c r="Q15" i="13"/>
  <c r="T15" i="13" s="1"/>
  <c r="O4" i="6"/>
  <c r="Q16" i="13"/>
  <c r="T16" i="13" s="1"/>
  <c r="P4" i="6"/>
  <c r="F34" i="7"/>
  <c r="G34" i="7" s="1"/>
  <c r="I34" i="7" s="1"/>
  <c r="L34" i="7" s="1"/>
  <c r="F20" i="7"/>
  <c r="F33" i="7" s="1"/>
  <c r="G33" i="7" s="1"/>
  <c r="F46" i="7"/>
  <c r="G46" i="7" s="1"/>
  <c r="I48" i="7"/>
  <c r="L48" i="7" s="1"/>
  <c r="O48" i="7"/>
  <c r="Q48" i="7" s="1"/>
  <c r="F36" i="7"/>
  <c r="G36" i="7" s="1"/>
  <c r="G23" i="7"/>
  <c r="I23" i="7" s="1"/>
  <c r="L23" i="7" s="1"/>
  <c r="I47" i="7"/>
  <c r="L47" i="7" s="1"/>
  <c r="O47" i="7"/>
  <c r="Q47" i="7" s="1"/>
  <c r="I49" i="7"/>
  <c r="L49" i="7" s="1"/>
  <c r="O49" i="7"/>
  <c r="Q49" i="7" s="1"/>
  <c r="F35" i="7"/>
  <c r="G35" i="7" s="1"/>
  <c r="G22" i="7"/>
  <c r="I22" i="7" s="1"/>
  <c r="L22" i="7" s="1"/>
  <c r="O21" i="7"/>
  <c r="E11" i="4"/>
  <c r="E10" i="4"/>
  <c r="E9" i="4"/>
  <c r="E8" i="4"/>
  <c r="K6" i="2"/>
  <c r="L10" i="6" l="1"/>
  <c r="AC13" i="1"/>
  <c r="AE13" i="1" s="1"/>
  <c r="N7" i="6"/>
  <c r="N8" i="6"/>
  <c r="N6" i="6"/>
  <c r="AB14" i="13"/>
  <c r="AD14" i="13" s="1"/>
  <c r="AF14" i="13" s="1"/>
  <c r="M8" i="6"/>
  <c r="M6" i="6"/>
  <c r="M7" i="6"/>
  <c r="AB13" i="13"/>
  <c r="AD13" i="13" s="1"/>
  <c r="AF13" i="13" s="1"/>
  <c r="O6" i="6"/>
  <c r="O8" i="6"/>
  <c r="O7" i="6"/>
  <c r="AB15" i="13"/>
  <c r="AD15" i="13" s="1"/>
  <c r="AF15" i="13" s="1"/>
  <c r="P6" i="6"/>
  <c r="P8" i="6"/>
  <c r="P7" i="6"/>
  <c r="AB16" i="13"/>
  <c r="AD16" i="13" s="1"/>
  <c r="AF16" i="13" s="1"/>
  <c r="G20" i="7"/>
  <c r="I20" i="7" s="1"/>
  <c r="L20" i="7" s="1"/>
  <c r="O34" i="7"/>
  <c r="Q34" i="7" s="1"/>
  <c r="O23" i="7"/>
  <c r="O22" i="7"/>
  <c r="F19" i="7"/>
  <c r="G19" i="7" s="1"/>
  <c r="I19" i="7" s="1"/>
  <c r="L19" i="7" s="1"/>
  <c r="F45" i="7"/>
  <c r="G45" i="7" s="1"/>
  <c r="I35" i="7"/>
  <c r="L35" i="7" s="1"/>
  <c r="O35" i="7"/>
  <c r="Q35" i="7" s="1"/>
  <c r="I46" i="7"/>
  <c r="L46" i="7" s="1"/>
  <c r="O46" i="7"/>
  <c r="Q46" i="7" s="1"/>
  <c r="O36" i="7"/>
  <c r="Q36" i="7" s="1"/>
  <c r="I36" i="7"/>
  <c r="L36" i="7" s="1"/>
  <c r="I33" i="7"/>
  <c r="L33" i="7" s="1"/>
  <c r="O33" i="7"/>
  <c r="Q33" i="7" s="1"/>
  <c r="N12" i="4"/>
  <c r="O12" i="4"/>
  <c r="M12" i="4"/>
  <c r="D15" i="2"/>
  <c r="D14" i="2"/>
  <c r="D13" i="2"/>
  <c r="D12" i="2"/>
  <c r="D11" i="2"/>
  <c r="D10" i="2"/>
  <c r="D9" i="2"/>
  <c r="D8" i="2"/>
  <c r="D7" i="2"/>
  <c r="D6" i="2"/>
  <c r="N10" i="6" l="1"/>
  <c r="M10" i="6"/>
  <c r="O10" i="6"/>
  <c r="P10" i="6"/>
  <c r="O20" i="7"/>
  <c r="F32" i="7"/>
  <c r="G32" i="7" s="1"/>
  <c r="O32" i="7" s="1"/>
  <c r="Q32" i="7" s="1"/>
  <c r="I45" i="7"/>
  <c r="L45" i="7" s="1"/>
  <c r="O45" i="7"/>
  <c r="Q45" i="7" s="1"/>
  <c r="O19" i="7"/>
  <c r="M7" i="2"/>
  <c r="L7" i="2"/>
  <c r="N7" i="2"/>
  <c r="K7" i="2"/>
  <c r="O7" i="2"/>
  <c r="L9" i="2"/>
  <c r="N9" i="2"/>
  <c r="M9" i="2"/>
  <c r="O9" i="2"/>
  <c r="K9" i="2"/>
  <c r="L13" i="2"/>
  <c r="N13" i="2"/>
  <c r="K13" i="2"/>
  <c r="O13" i="2"/>
  <c r="M13" i="2"/>
  <c r="O10" i="2"/>
  <c r="K10" i="2"/>
  <c r="L10" i="2"/>
  <c r="M10" i="2"/>
  <c r="N10" i="2"/>
  <c r="K14" i="2"/>
  <c r="M14" i="2"/>
  <c r="O14" i="2"/>
  <c r="L14" i="2"/>
  <c r="N14" i="2"/>
  <c r="M11" i="2"/>
  <c r="L11" i="2"/>
  <c r="O11" i="2"/>
  <c r="N11" i="2"/>
  <c r="K11" i="2"/>
  <c r="M15" i="2"/>
  <c r="L15" i="2"/>
  <c r="K15" i="2"/>
  <c r="O15" i="2"/>
  <c r="N15" i="2"/>
  <c r="M8" i="2"/>
  <c r="K8" i="2"/>
  <c r="L8" i="2"/>
  <c r="O8" i="2"/>
  <c r="N8" i="2"/>
  <c r="M12" i="2"/>
  <c r="K12" i="2"/>
  <c r="L12" i="2"/>
  <c r="O12" i="2"/>
  <c r="N12" i="2"/>
  <c r="M16" i="2"/>
  <c r="N16" i="2"/>
  <c r="O16" i="2"/>
  <c r="K16" i="2"/>
  <c r="L16" i="2"/>
  <c r="AC16" i="1" l="1"/>
  <c r="AE16" i="1" s="1"/>
  <c r="AC17" i="1"/>
  <c r="AE17" i="1" s="1"/>
  <c r="AC14" i="1"/>
  <c r="AE14" i="1" s="1"/>
  <c r="AC15" i="1"/>
  <c r="AE15" i="1" s="1"/>
  <c r="I32" i="7"/>
  <c r="L32" i="7" s="1"/>
  <c r="K17" i="2"/>
  <c r="N17" i="2"/>
  <c r="L17" i="2"/>
  <c r="O17" i="2"/>
  <c r="M17" i="2"/>
  <c r="L22" i="2" l="1"/>
  <c r="O10" i="1"/>
  <c r="M22" i="2"/>
  <c r="O8" i="1"/>
  <c r="K22" i="2"/>
  <c r="O12" i="1"/>
  <c r="K11" i="13" s="1"/>
  <c r="O22" i="2"/>
  <c r="O11" i="1"/>
  <c r="N22" i="2"/>
  <c r="O9" i="1"/>
  <c r="K8" i="13" s="1"/>
  <c r="K5" i="4" l="1"/>
  <c r="K22" i="4" s="1"/>
  <c r="K7" i="13"/>
  <c r="Z7" i="13" s="1"/>
  <c r="O5" i="4"/>
  <c r="O23" i="4" s="1"/>
  <c r="M5" i="4"/>
  <c r="M22" i="4" s="1"/>
  <c r="K9" i="13"/>
  <c r="N5" i="4"/>
  <c r="N22" i="4" s="1"/>
  <c r="K10" i="13"/>
  <c r="Z8" i="13"/>
  <c r="Z11" i="13"/>
  <c r="L5" i="4"/>
  <c r="L22" i="4" s="1"/>
  <c r="K23" i="4" l="1"/>
  <c r="K24" i="4" s="1"/>
  <c r="U8" i="1" s="1"/>
  <c r="Q7" i="13" s="1"/>
  <c r="T7" i="13" s="1"/>
  <c r="M23" i="4"/>
  <c r="M24" i="4" s="1"/>
  <c r="U10" i="1" s="1"/>
  <c r="Q9" i="13" s="1"/>
  <c r="T9" i="13" s="1"/>
  <c r="AB9" i="13" s="1"/>
  <c r="O22" i="4"/>
  <c r="O24" i="4" s="1"/>
  <c r="Z10" i="13"/>
  <c r="N23" i="4"/>
  <c r="N24" i="4" s="1"/>
  <c r="U11" i="1" s="1"/>
  <c r="Q10" i="13" s="1"/>
  <c r="T10" i="13" s="1"/>
  <c r="Z9" i="13"/>
  <c r="L23" i="4"/>
  <c r="L24" i="4" s="1"/>
  <c r="K23" i="2" l="1"/>
  <c r="K24" i="2" s="1"/>
  <c r="AA8" i="1" s="1"/>
  <c r="G4" i="6" s="1"/>
  <c r="G7" i="6" s="1"/>
  <c r="M23" i="2"/>
  <c r="M24" i="2" s="1"/>
  <c r="AA10" i="1" s="1"/>
  <c r="I4" i="6" s="1"/>
  <c r="N23" i="2"/>
  <c r="N24" i="2" s="1"/>
  <c r="AA11" i="1" s="1"/>
  <c r="J4" i="6" s="1"/>
  <c r="J6" i="6" s="1"/>
  <c r="AB10" i="13"/>
  <c r="AD10" i="13" s="1"/>
  <c r="AF10" i="13" s="1"/>
  <c r="AD9" i="13"/>
  <c r="AF9" i="13" s="1"/>
  <c r="AB7" i="13"/>
  <c r="AD7" i="13" s="1"/>
  <c r="AF7" i="13" s="1"/>
  <c r="U9" i="1"/>
  <c r="Q8" i="13" s="1"/>
  <c r="T8" i="13" s="1"/>
  <c r="L23" i="2"/>
  <c r="L24" i="2" s="1"/>
  <c r="AA9" i="1" s="1"/>
  <c r="U12" i="1"/>
  <c r="Q11" i="13" s="1"/>
  <c r="T11" i="13" s="1"/>
  <c r="O23" i="2"/>
  <c r="O24" i="2" s="1"/>
  <c r="AA12" i="1" s="1"/>
  <c r="AB11" i="13" l="1"/>
  <c r="AD11" i="13" s="1"/>
  <c r="AF11" i="13" s="1"/>
  <c r="AB8" i="13"/>
  <c r="AD8" i="13" s="1"/>
  <c r="AF8" i="13" s="1"/>
  <c r="H4" i="6"/>
  <c r="H7" i="6" s="1"/>
  <c r="K4" i="6"/>
  <c r="J8" i="6"/>
  <c r="J7" i="6"/>
  <c r="G8" i="6"/>
  <c r="G6" i="6"/>
  <c r="I6" i="6"/>
  <c r="I8" i="6"/>
  <c r="I7" i="6"/>
  <c r="H8" i="6" l="1"/>
  <c r="W25" i="13"/>
  <c r="V26" i="13" s="1"/>
  <c r="H6" i="6"/>
  <c r="K8" i="6"/>
  <c r="K7" i="6"/>
  <c r="K6" i="6"/>
  <c r="F18" i="7"/>
  <c r="G18" i="7" s="1"/>
  <c r="I18" i="7" s="1"/>
  <c r="L18" i="7" s="1"/>
  <c r="F44" i="7"/>
  <c r="G44" i="7" s="1"/>
  <c r="J10" i="6"/>
  <c r="G10" i="6"/>
  <c r="AC8" i="1" s="1"/>
  <c r="I10" i="6"/>
  <c r="AC10" i="1" s="1"/>
  <c r="H10" i="6" l="1"/>
  <c r="AC9" i="1" s="1"/>
  <c r="AE9" i="1" s="1"/>
  <c r="F15" i="7" s="1"/>
  <c r="G15" i="7" s="1"/>
  <c r="AC11" i="1"/>
  <c r="AE11" i="1" s="1"/>
  <c r="F17" i="7" s="1"/>
  <c r="G17" i="7" s="1"/>
  <c r="AA24" i="13"/>
  <c r="V24" i="13"/>
  <c r="V25" i="13"/>
  <c r="K10" i="6"/>
  <c r="AE8" i="1"/>
  <c r="F14" i="7" s="1"/>
  <c r="G14" i="7" s="1"/>
  <c r="F31" i="7"/>
  <c r="G31" i="7" s="1"/>
  <c r="O31" i="7" s="1"/>
  <c r="Q31" i="7" s="1"/>
  <c r="I44" i="7"/>
  <c r="L44" i="7" s="1"/>
  <c r="O44" i="7"/>
  <c r="Q44" i="7" s="1"/>
  <c r="F43" i="7"/>
  <c r="O18" i="7"/>
  <c r="F41" i="7"/>
  <c r="G41" i="7" s="1"/>
  <c r="AE10" i="1"/>
  <c r="F40" i="7" l="1"/>
  <c r="G40" i="7" s="1"/>
  <c r="O40" i="7" s="1"/>
  <c r="G43" i="7"/>
  <c r="O43" i="7" s="1"/>
  <c r="Q43" i="7" s="1"/>
  <c r="J5" i="7"/>
  <c r="K50" i="7" s="1"/>
  <c r="AC12" i="1"/>
  <c r="AE12" i="1" s="1"/>
  <c r="O14" i="7"/>
  <c r="F27" i="7"/>
  <c r="G27" i="7" s="1"/>
  <c r="I31" i="7"/>
  <c r="L31" i="7" s="1"/>
  <c r="F30" i="7"/>
  <c r="G30" i="7" s="1"/>
  <c r="O30" i="7" s="1"/>
  <c r="F16" i="7"/>
  <c r="G16" i="7" s="1"/>
  <c r="F42" i="7"/>
  <c r="O17" i="7"/>
  <c r="F28" i="7"/>
  <c r="G28" i="7" s="1"/>
  <c r="O28" i="7" s="1"/>
  <c r="O41" i="7"/>
  <c r="O15" i="7"/>
  <c r="K37" i="7" l="1"/>
  <c r="K24" i="7"/>
  <c r="P24" i="7" s="1"/>
  <c r="H17" i="7"/>
  <c r="I17" i="7" s="1"/>
  <c r="L17" i="7" s="1"/>
  <c r="H30" i="7"/>
  <c r="Q30" i="7" s="1"/>
  <c r="H16" i="7"/>
  <c r="I16" i="7" s="1"/>
  <c r="L16" i="7" s="1"/>
  <c r="H29" i="7"/>
  <c r="H15" i="7"/>
  <c r="I15" i="7" s="1"/>
  <c r="L15" i="7" s="1"/>
  <c r="H28" i="7"/>
  <c r="Q28" i="7" s="1"/>
  <c r="H41" i="7"/>
  <c r="I41" i="7" s="1"/>
  <c r="L41" i="7" s="1"/>
  <c r="H14" i="7"/>
  <c r="H27" i="7"/>
  <c r="H40" i="7"/>
  <c r="I43" i="7"/>
  <c r="L43" i="7" s="1"/>
  <c r="G42" i="7"/>
  <c r="O42" i="7" s="1"/>
  <c r="Q42" i="7" s="1"/>
  <c r="O16" i="7"/>
  <c r="G24" i="7"/>
  <c r="O27" i="7"/>
  <c r="F24" i="7"/>
  <c r="F29" i="7"/>
  <c r="G29" i="7" s="1"/>
  <c r="O29" i="7" s="1"/>
  <c r="F50" i="7"/>
  <c r="I30" i="7" l="1"/>
  <c r="L30" i="7" s="1"/>
  <c r="P16" i="7"/>
  <c r="Q16" i="7" s="1"/>
  <c r="P15" i="7"/>
  <c r="Q15" i="7" s="1"/>
  <c r="P14" i="7"/>
  <c r="Q14" i="7" s="1"/>
  <c r="I27" i="7"/>
  <c r="L27" i="7" s="1"/>
  <c r="Q27" i="7"/>
  <c r="G50" i="7"/>
  <c r="H37" i="7"/>
  <c r="Q29" i="7"/>
  <c r="I42" i="7"/>
  <c r="L42" i="7" s="1"/>
  <c r="P23" i="7"/>
  <c r="Q23" i="7" s="1"/>
  <c r="P19" i="7"/>
  <c r="Q19" i="7" s="1"/>
  <c r="P18" i="7"/>
  <c r="Q18" i="7" s="1"/>
  <c r="P22" i="7"/>
  <c r="Q22" i="7" s="1"/>
  <c r="P21" i="7"/>
  <c r="Q21" i="7" s="1"/>
  <c r="I28" i="7"/>
  <c r="L28" i="7" s="1"/>
  <c r="P17" i="7"/>
  <c r="Q17" i="7" s="1"/>
  <c r="P20" i="7"/>
  <c r="Q20" i="7" s="1"/>
  <c r="Q41" i="7"/>
  <c r="H50" i="7"/>
  <c r="Q40" i="7"/>
  <c r="I40" i="7"/>
  <c r="L40" i="7" s="1"/>
  <c r="L50" i="7" s="1"/>
  <c r="N50" i="7" s="1"/>
  <c r="H24" i="7"/>
  <c r="I24" i="7" s="1"/>
  <c r="I14" i="7"/>
  <c r="L14" i="7" s="1"/>
  <c r="L24" i="7" s="1"/>
  <c r="N24" i="7" s="1"/>
  <c r="G37" i="7"/>
  <c r="F37" i="7"/>
  <c r="I29" i="7"/>
  <c r="L29" i="7" s="1"/>
  <c r="L37" i="7" l="1"/>
  <c r="N37" i="7" s="1"/>
  <c r="I50" i="7"/>
  <c r="Q37" i="7"/>
  <c r="Q50" i="7"/>
  <c r="Q24" i="7"/>
  <c r="R15" i="7" s="1"/>
  <c r="H29" i="1" s="1"/>
  <c r="I37" i="7"/>
  <c r="R32" i="7" l="1"/>
  <c r="J33" i="1" s="1"/>
  <c r="R44" i="7"/>
  <c r="S44" i="7" s="1"/>
  <c r="L32" i="1" s="1"/>
  <c r="R48" i="7"/>
  <c r="S48" i="7" s="1"/>
  <c r="L36" i="1" s="1"/>
  <c r="R47" i="7"/>
  <c r="S47" i="7" s="1"/>
  <c r="L35" i="1" s="1"/>
  <c r="R49" i="7"/>
  <c r="S49" i="7" s="1"/>
  <c r="L37" i="1" s="1"/>
  <c r="R40" i="7"/>
  <c r="R45" i="7"/>
  <c r="S45" i="7" s="1"/>
  <c r="L33" i="1" s="1"/>
  <c r="R43" i="7"/>
  <c r="S43" i="7" s="1"/>
  <c r="L31" i="1" s="1"/>
  <c r="R42" i="7"/>
  <c r="R46" i="7"/>
  <c r="S46" i="7" s="1"/>
  <c r="L34" i="1" s="1"/>
  <c r="R41" i="7"/>
  <c r="R33" i="7"/>
  <c r="J34" i="1" s="1"/>
  <c r="R28" i="7"/>
  <c r="J29" i="1" s="1"/>
  <c r="R31" i="7"/>
  <c r="J32" i="1" s="1"/>
  <c r="R30" i="7"/>
  <c r="J31" i="1" s="1"/>
  <c r="R29" i="7"/>
  <c r="J30" i="1" s="1"/>
  <c r="R36" i="7"/>
  <c r="J37" i="1" s="1"/>
  <c r="R34" i="7"/>
  <c r="J35" i="1" s="1"/>
  <c r="R35" i="7"/>
  <c r="J36" i="1" s="1"/>
  <c r="R50" i="7" l="1"/>
  <c r="R51" i="7" s="1"/>
  <c r="S40" i="7" s="1"/>
  <c r="L28" i="1" s="1"/>
  <c r="S41" i="7"/>
  <c r="L29" i="1" s="1"/>
  <c r="N29" i="1" s="1"/>
  <c r="S42" i="7"/>
  <c r="L30" i="1" s="1"/>
  <c r="R27" i="7"/>
  <c r="R18" i="7"/>
  <c r="R20" i="7"/>
  <c r="R17" i="7"/>
  <c r="R23" i="7"/>
  <c r="R21" i="7"/>
  <c r="R19" i="7"/>
  <c r="R16" i="7"/>
  <c r="H30" i="1" s="1"/>
  <c r="R22" i="7"/>
  <c r="H35" i="1" l="1"/>
  <c r="N35" i="1" s="1"/>
  <c r="H32" i="1"/>
  <c r="N32" i="1" s="1"/>
  <c r="J28" i="1"/>
  <c r="J38" i="1" s="1"/>
  <c r="H36" i="1"/>
  <c r="N36" i="1" s="1"/>
  <c r="H37" i="1"/>
  <c r="N37" i="1" s="1"/>
  <c r="H31" i="1"/>
  <c r="N31" i="1" s="1"/>
  <c r="H33" i="1"/>
  <c r="N33" i="1" s="1"/>
  <c r="H34" i="1"/>
  <c r="N34" i="1" s="1"/>
  <c r="N30" i="1"/>
  <c r="R14" i="7"/>
  <c r="L38" i="1"/>
  <c r="H28" i="1" l="1"/>
  <c r="H38" i="1" s="1"/>
  <c r="N28" i="1" l="1"/>
  <c r="N38" i="1" s="1"/>
  <c r="R38" i="1" s="1"/>
  <c r="C3" i="8" l="1"/>
  <c r="J14" i="8" l="1"/>
  <c r="K16" i="8"/>
  <c r="U36" i="1" s="1"/>
  <c r="J13" i="8"/>
  <c r="I13" i="8" s="1"/>
  <c r="J5" i="8"/>
  <c r="I5" i="8" s="1"/>
  <c r="I7" i="8" s="1"/>
  <c r="J8" i="8"/>
  <c r="F8" i="8" s="1"/>
  <c r="J12" i="8"/>
  <c r="I12" i="8" s="1"/>
  <c r="H12" i="8" s="1"/>
  <c r="J11" i="8"/>
  <c r="H11" i="8" s="1"/>
  <c r="K15" i="8"/>
  <c r="J9" i="8"/>
  <c r="F9" i="8" s="1"/>
  <c r="J10" i="8"/>
  <c r="H10" i="8" s="1"/>
  <c r="E8" i="8" l="1"/>
  <c r="I6" i="8"/>
  <c r="G5" i="8"/>
  <c r="G6" i="8" s="1"/>
  <c r="D5" i="8"/>
  <c r="D7" i="8" s="1"/>
  <c r="H5" i="8"/>
  <c r="H7" i="8" s="1"/>
  <c r="J7" i="8"/>
  <c r="J6" i="8"/>
  <c r="U35" i="1" s="1"/>
  <c r="F5" i="8"/>
  <c r="F7" i="8" s="1"/>
  <c r="E5" i="8"/>
  <c r="E7" i="8" s="1"/>
  <c r="G8" i="8"/>
  <c r="G10" i="8"/>
  <c r="H8" i="8"/>
  <c r="I8" i="8"/>
  <c r="I11" i="8"/>
  <c r="G11" i="8" s="1"/>
  <c r="G9" i="8"/>
  <c r="H9" i="8"/>
  <c r="I9" i="8"/>
  <c r="I10" i="8"/>
  <c r="H6" i="8" l="1"/>
  <c r="U34" i="1"/>
  <c r="U33" i="1"/>
  <c r="U32" i="1"/>
  <c r="G7" i="8"/>
  <c r="D6" i="8"/>
  <c r="U29" i="1" s="1"/>
  <c r="F6" i="8"/>
  <c r="U31" i="1" s="1"/>
  <c r="C5" i="8"/>
  <c r="E6" i="8"/>
  <c r="U30" i="1" s="1"/>
  <c r="F10" i="8"/>
  <c r="D8" i="8"/>
  <c r="E9" i="8"/>
  <c r="C6" i="8" l="1"/>
  <c r="U28" i="1"/>
  <c r="C7" i="8"/>
</calcChain>
</file>

<file path=xl/comments1.xml><?xml version="1.0" encoding="utf-8"?>
<comments xmlns="http://schemas.openxmlformats.org/spreadsheetml/2006/main">
  <authors>
    <author>賦課係　須藤</author>
  </authors>
  <commentList>
    <comment ref="H7" authorId="0" shapeId="0">
      <text>
        <r>
          <rPr>
            <sz val="9"/>
            <color indexed="81"/>
            <rFont val="MS P ゴシック"/>
            <family val="3"/>
            <charset val="128"/>
          </rPr>
          <t>年/月/日、というようにスラッシュ「/」を入れて入力してください。
スペースは入れないでください。
（例）昭和60年5月12日生→「S60/5/12」又は「1985/5/12」</t>
        </r>
      </text>
    </comment>
    <comment ref="J7" authorId="0" shapeId="0">
      <text>
        <r>
          <rPr>
            <sz val="9"/>
            <color indexed="81"/>
            <rFont val="MS P ゴシック"/>
            <family val="3"/>
            <charset val="128"/>
          </rPr>
          <t>ハローワークから雇用保険受給資格者証が交付されている場合は、同証の「11.離職年月日」及び「12.離職理由」欄を確認してください。
「12.離職理由」が、非自発的な理由（11、12、21～23、31～34のいずれか）かつ「11.離職年月日」の翌日を含む年度と、その翌年度が賦課年度の場合は、給与所得を軽減して税額を計算しますので、「該当」を選択してください。</t>
        </r>
      </text>
    </comment>
    <comment ref="L7" authorId="0" shapeId="0">
      <text>
        <r>
          <rPr>
            <sz val="9"/>
            <color indexed="81"/>
            <rFont val="MS P ゴシック"/>
            <family val="3"/>
            <charset val="128"/>
          </rPr>
          <t>2024年1月1日～同年12月31日までの給与収入額（総支給額）を入力してください。</t>
        </r>
      </text>
    </comment>
    <comment ref="R7" authorId="0" shapeId="0">
      <text>
        <r>
          <rPr>
            <sz val="9"/>
            <color indexed="81"/>
            <rFont val="MS P ゴシック"/>
            <family val="3"/>
            <charset val="128"/>
          </rPr>
          <t>2024年1月1日～同年12月31日までの年金受給額を入力してください。
ただし、障害年金・遺族年金は、非課税の年金であるため、入力しないでください。</t>
        </r>
      </text>
    </comment>
    <comment ref="X7" authorId="0" shapeId="0">
      <text>
        <r>
          <rPr>
            <sz val="9"/>
            <color indexed="81"/>
            <rFont val="MS P ゴシック"/>
            <family val="3"/>
            <charset val="128"/>
          </rPr>
          <t>2024年1月1日～同年12月31日までの、給与・年金以外の所得金額を合算して入力してください。</t>
        </r>
      </text>
    </comment>
    <comment ref="AA7" authorId="0" shapeId="0">
      <text>
        <r>
          <rPr>
            <sz val="9"/>
            <color indexed="81"/>
            <rFont val="MS P ゴシック"/>
            <family val="3"/>
            <charset val="128"/>
          </rPr>
          <t>給与所得額と年金所得額の合計が10万円を超える場合、給与所得額の一部が控除されます。</t>
        </r>
      </text>
    </comment>
    <comment ref="AC7" authorId="0" shapeId="0">
      <text>
        <r>
          <rPr>
            <sz val="9"/>
            <color indexed="81"/>
            <rFont val="MS P ゴシック"/>
            <family val="3"/>
            <charset val="128"/>
          </rPr>
          <t>国民健康保険税の計算においては、所得金額調整控除及び基礎控除以外の控除は、算定の基礎となりません。</t>
        </r>
      </text>
    </comment>
    <comment ref="F22" authorId="0" shapeId="0">
      <text>
        <r>
          <rPr>
            <sz val="9"/>
            <color indexed="81"/>
            <rFont val="MS P ゴシック"/>
            <family val="3"/>
            <charset val="128"/>
          </rPr>
          <t>６歳に達する年度までの児童については、均等割額が２分の１に減額されます。</t>
        </r>
      </text>
    </comment>
    <comment ref="U26" authorId="0" shapeId="0">
      <text>
        <r>
          <rPr>
            <sz val="9"/>
            <color indexed="81"/>
            <rFont val="MS P ゴシック"/>
            <family val="3"/>
            <charset val="128"/>
          </rPr>
          <t>国民健康保険税は、加入手続の翌月以後の納期に税額が割り振られます。
その年度の4月1日以前から加入している場合は、４月を選択してください。</t>
        </r>
      </text>
    </comment>
    <comment ref="L27" authorId="0" shapeId="0">
      <text>
        <r>
          <rPr>
            <sz val="9"/>
            <color indexed="81"/>
            <rFont val="MS P ゴシック"/>
            <family val="3"/>
            <charset val="128"/>
          </rPr>
          <t>40歳～64歳までの方には、介護分が賦課されます。</t>
        </r>
      </text>
    </comment>
  </commentList>
</comments>
</file>

<file path=xl/comments2.xml><?xml version="1.0" encoding="utf-8"?>
<comments xmlns="http://schemas.openxmlformats.org/spreadsheetml/2006/main">
  <authors>
    <author>賦課係　須藤</author>
    <author>賦課係１番窓口</author>
  </authors>
  <commentList>
    <comment ref="J4" authorId="0" shapeId="0">
      <text>
        <r>
          <rPr>
            <sz val="9"/>
            <color indexed="81"/>
            <rFont val="MS P ゴシック"/>
            <family val="3"/>
            <charset val="128"/>
          </rPr>
          <t>法定軽減の適用機能については、ＷＥＢ版非開示。</t>
        </r>
      </text>
    </comment>
    <comment ref="O12" authorId="0" shapeId="0">
      <text>
        <r>
          <rPr>
            <sz val="9"/>
            <color indexed="81"/>
            <rFont val="MS P ゴシック"/>
            <family val="3"/>
            <charset val="128"/>
          </rPr>
          <t>賦課額の算出においては、賦課額の確定額である「算出税額」においてのみ、端数処理を行うが、参考税額の算出においては、所得割・均等割・平等割のそれぞれで端数処理したものを足しあげ、賦課額を按分している模様。
※　三市共同チケット#13994参照。</t>
        </r>
      </text>
    </comment>
    <comment ref="E13" authorId="1" shapeId="0">
      <text>
        <r>
          <rPr>
            <sz val="9"/>
            <color indexed="81"/>
            <rFont val="MS P ゴシック"/>
            <family val="3"/>
            <charset val="128"/>
          </rPr>
          <t>年齢要件「国保加入期間なし」の該当者は、表内の数値が全てゼロ表示となる。</t>
        </r>
      </text>
    </comment>
    <comment ref="H13" authorId="1" shapeId="0">
      <text>
        <r>
          <rPr>
            <sz val="9"/>
            <color indexed="81"/>
            <rFont val="MS P ゴシック"/>
            <family val="3"/>
            <charset val="128"/>
          </rPr>
          <t>年齢要件「未就学児該当」の該当者は、未就学児軽減後（２分の１）の額で表示される。
また、Ｊ４で指定した法定軽減後の額で表示される。</t>
        </r>
      </text>
    </comment>
    <comment ref="J13" authorId="1" shapeId="0">
      <text>
        <r>
          <rPr>
            <sz val="9"/>
            <color indexed="81"/>
            <rFont val="MS P ゴシック"/>
            <family val="3"/>
            <charset val="128"/>
          </rPr>
          <t>原則、当Excelでは、誕生月（後期加入月）に関わらず、賦課年度内に国保税が賦課されうる月が１か月でもある場合は、入力用シートＵ６で指定した加入期間全てにおいて国保税が賦課されるものとして計算する。
加入者毎の加入月数を指定したい場合は、この欄に直接入力する（ＷＥＢ版非開示）。</t>
        </r>
      </text>
    </comment>
    <comment ref="R13" authorId="1" shapeId="0">
      <text>
        <r>
          <rPr>
            <sz val="9"/>
            <color indexed="81"/>
            <rFont val="MS P ゴシック"/>
            <family val="3"/>
            <charset val="128"/>
          </rPr>
          <t>算出税額（端数処理後）を、個人年税額Ａで按分した数値。</t>
        </r>
      </text>
    </comment>
    <comment ref="R14" authorId="1" shapeId="0">
      <text>
        <r>
          <rPr>
            <sz val="9"/>
            <color indexed="81"/>
            <rFont val="MS P ゴシック"/>
            <family val="3"/>
            <charset val="128"/>
          </rPr>
          <t>各個人に生じた１円未満の端数は、１人目の参考税額に寄せている。
※　e-SUITEでは、原則世帯主（擬主又は主が所得ゼロの場合は、所得が最も多い被保険者）に寄せる仕様になっているが、当Excelでは、主を特定できないため、このような取扱いにしている。</t>
        </r>
      </text>
    </comment>
    <comment ref="J24" authorId="0" shapeId="0">
      <text>
        <r>
          <rPr>
            <sz val="9"/>
            <color indexed="81"/>
            <rFont val="MS P ゴシック"/>
            <family val="3"/>
            <charset val="128"/>
          </rPr>
          <t>加入者のうち、最も加入期間が長い者の加入期間が表示される。</t>
        </r>
      </text>
    </comment>
    <comment ref="K24" authorId="0" shapeId="0">
      <text>
        <r>
          <rPr>
            <sz val="9"/>
            <color indexed="81"/>
            <rFont val="MS P ゴシック"/>
            <family val="3"/>
            <charset val="128"/>
          </rPr>
          <t>Ｊ４で指定した法定軽減後の額で表示される。</t>
        </r>
      </text>
    </comment>
    <comment ref="L24" authorId="0" shapeId="0">
      <text>
        <r>
          <rPr>
            <sz val="9"/>
            <color indexed="81"/>
            <rFont val="MS P ゴシック"/>
            <family val="3"/>
            <charset val="128"/>
          </rPr>
          <t>このセルだけは、所得割・均等割だけでなく、平等割額（加入月分）が足されている。</t>
        </r>
      </text>
    </comment>
    <comment ref="M24" authorId="1" shapeId="0">
      <text>
        <r>
          <rPr>
            <sz val="9"/>
            <color indexed="81"/>
            <rFont val="MS P ゴシック"/>
            <family val="3"/>
            <charset val="128"/>
          </rPr>
          <t>限度額が賦課額として適用となるか否かは、各月毎に判定されるが、当Excelにおいては、各月毎の加入者を特定できないため、加入者によって加入時期・加入月数が異なる場合は、限度額の適用が適正に判定できない。まあ、限度額にまったく到達しない世帯なら関係ないのだが。</t>
        </r>
      </text>
    </comment>
    <comment ref="D27" authorId="1" shapeId="0">
      <text>
        <r>
          <rPr>
            <sz val="9"/>
            <color indexed="81"/>
            <rFont val="MS P ゴシック"/>
            <family val="3"/>
            <charset val="128"/>
          </rPr>
          <t>薄緑のセルは、「医療」の表から数値を参照している。</t>
        </r>
      </text>
    </comment>
    <comment ref="E39" authorId="1" shapeId="0">
      <text>
        <r>
          <rPr>
            <sz val="9"/>
            <color indexed="81"/>
            <rFont val="MS P ゴシック"/>
            <family val="3"/>
            <charset val="128"/>
          </rPr>
          <t>年齢要件「介護分あり」以外の該当者は、表内の数値が全てゼロ表示となる。</t>
        </r>
      </text>
    </comment>
    <comment ref="J39" authorId="1" shapeId="0">
      <text>
        <r>
          <rPr>
            <sz val="9"/>
            <color indexed="81"/>
            <rFont val="MS P ゴシック"/>
            <family val="3"/>
            <charset val="128"/>
          </rPr>
          <t>当Excelでは、誕生月に関わらず、賦課年度内に介護分が賦課されうる月が１か月でもある場合は、入力用シートＵ６で指定した加入期間全てにおいて、介護分が賦課されるものとして計算する。
加入者毎の加入月数を指定したい場合は、この欄に直接入力する（ＷＥＢ版非開示）。</t>
        </r>
      </text>
    </comment>
    <comment ref="R39" authorId="1" shapeId="0">
      <text>
        <r>
          <rPr>
            <sz val="9"/>
            <color indexed="81"/>
            <rFont val="MS P ゴシック"/>
            <family val="3"/>
            <charset val="128"/>
          </rPr>
          <t>端数を寄せる前の数値。</t>
        </r>
      </text>
    </comment>
    <comment ref="S39" authorId="1" shapeId="0">
      <text>
        <r>
          <rPr>
            <sz val="9"/>
            <color indexed="81"/>
            <rFont val="MS P ゴシック"/>
            <family val="3"/>
            <charset val="128"/>
          </rPr>
          <t>端数を、介護分ありの最初の人に寄せた数値。</t>
        </r>
      </text>
    </comment>
    <comment ref="D40" authorId="1" shapeId="0">
      <text>
        <r>
          <rPr>
            <sz val="9"/>
            <color indexed="81"/>
            <rFont val="MS P ゴシック"/>
            <family val="3"/>
            <charset val="128"/>
          </rPr>
          <t>薄緑のセルは、「支援」の表から数値を参照している。</t>
        </r>
      </text>
    </comment>
    <comment ref="K50" authorId="0" shapeId="0">
      <text>
        <r>
          <rPr>
            <sz val="9"/>
            <color indexed="81"/>
            <rFont val="MS P ゴシック"/>
            <family val="3"/>
            <charset val="128"/>
          </rPr>
          <t>Ｊ４で指定した法定軽減後の額で表示される。</t>
        </r>
      </text>
    </comment>
  </commentList>
</comments>
</file>

<file path=xl/comments3.xml><?xml version="1.0" encoding="utf-8"?>
<comments xmlns="http://schemas.openxmlformats.org/spreadsheetml/2006/main">
  <authors>
    <author>賦課係　須藤</author>
  </authors>
  <commentList>
    <comment ref="B6" authorId="0" shapeId="0">
      <text>
        <r>
          <rPr>
            <sz val="9"/>
            <color indexed="81"/>
            <rFont val="MS P ゴシック"/>
            <family val="3"/>
            <charset val="128"/>
          </rPr>
          <t>5,6月は、4月の数値をそのまま参照している。</t>
        </r>
      </text>
    </comment>
  </commentList>
</comments>
</file>

<file path=xl/comments4.xml><?xml version="1.0" encoding="utf-8"?>
<comments xmlns="http://schemas.openxmlformats.org/spreadsheetml/2006/main">
  <authors>
    <author>賦課係　須藤</author>
  </authors>
  <commentList>
    <comment ref="F5" authorId="0" shapeId="0">
      <text>
        <r>
          <rPr>
            <sz val="9"/>
            <color indexed="81"/>
            <rFont val="MS P ゴシック"/>
            <family val="3"/>
            <charset val="128"/>
          </rPr>
          <t>特例軽減は適用。
調控（年金等）は非適用。
※　調控（子供等）は適用されるが、調控（子供等）の判定自体、当Excelでは対応不可。</t>
        </r>
      </text>
    </comment>
  </commentList>
</comments>
</file>

<file path=xl/comments5.xml><?xml version="1.0" encoding="utf-8"?>
<comments xmlns="http://schemas.openxmlformats.org/spreadsheetml/2006/main">
  <authors>
    <author>賦課係　須藤</author>
  </authors>
  <commentList>
    <comment ref="AI18" authorId="0" shapeId="0">
      <text>
        <r>
          <rPr>
            <sz val="9"/>
            <color indexed="81"/>
            <rFont val="MS P ゴシック"/>
            <family val="3"/>
            <charset val="128"/>
          </rPr>
          <t>本来は、「被保険者 ＋ 特定同一世帯所属者」
だが、当Excelでは特定同一世帯所属者の入力を想定していないため、単純に被保険者数のみで計算を進める。</t>
        </r>
      </text>
    </comment>
    <comment ref="AJ18" authorId="0" shapeId="0">
      <text>
        <r>
          <rPr>
            <sz val="9"/>
            <color indexed="81"/>
            <rFont val="MS P ゴシック"/>
            <family val="3"/>
            <charset val="128"/>
          </rPr>
          <t>本来は、「被保険者 ＋ 擬主 ＋ 特定同一世帯所属者」
だが、当Excelでは擬主及び特定同一世帯所属者の入力を想定していないため、単純に被保険者数のみで計算を進める。</t>
        </r>
      </text>
    </comment>
  </commentList>
</comments>
</file>

<file path=xl/sharedStrings.xml><?xml version="1.0" encoding="utf-8"?>
<sst xmlns="http://schemas.openxmlformats.org/spreadsheetml/2006/main" count="414" uniqueCount="188">
  <si>
    <t>給与収入</t>
    <rPh sb="0" eb="2">
      <t>キュウヨ</t>
    </rPh>
    <rPh sb="2" eb="4">
      <t>シュウニュウ</t>
    </rPh>
    <phoneticPr fontId="1"/>
  </si>
  <si>
    <t>給与所得</t>
    <rPh sb="0" eb="2">
      <t>キュウヨ</t>
    </rPh>
    <rPh sb="2" eb="4">
      <t>ショトク</t>
    </rPh>
    <phoneticPr fontId="1"/>
  </si>
  <si>
    <t>年金収入</t>
    <rPh sb="0" eb="2">
      <t>ネンキン</t>
    </rPh>
    <rPh sb="2" eb="4">
      <t>シュウニュウ</t>
    </rPh>
    <phoneticPr fontId="1"/>
  </si>
  <si>
    <t>年金所得</t>
    <rPh sb="0" eb="2">
      <t>ネンキン</t>
    </rPh>
    <rPh sb="2" eb="4">
      <t>ショトク</t>
    </rPh>
    <phoneticPr fontId="1"/>
  </si>
  <si>
    <t>その他の所得</t>
    <rPh sb="2" eb="3">
      <t>タ</t>
    </rPh>
    <rPh sb="4" eb="6">
      <t>ショトク</t>
    </rPh>
    <phoneticPr fontId="1"/>
  </si>
  <si>
    <t>給与収入額Ａ</t>
    <rPh sb="0" eb="2">
      <t>キュウヨ</t>
    </rPh>
    <rPh sb="2" eb="4">
      <t>シュウニュウ</t>
    </rPh>
    <rPh sb="4" eb="5">
      <t>ガク</t>
    </rPh>
    <phoneticPr fontId="1"/>
  </si>
  <si>
    <t>～</t>
    <phoneticPr fontId="1"/>
  </si>
  <si>
    <t>（Ａ÷</t>
    <phoneticPr fontId="1"/>
  </si>
  <si>
    <t>）</t>
    <phoneticPr fontId="1"/>
  </si>
  <si>
    <t>）×</t>
    <phoneticPr fontId="1"/>
  </si>
  <si>
    <t>＋</t>
    <phoneticPr fontId="1"/>
  </si>
  <si>
    <t>Ａ</t>
    <phoneticPr fontId="1"/>
  </si>
  <si>
    <t>（Ａ×</t>
    <phoneticPr fontId="1"/>
  </si>
  <si>
    <t>Ａ</t>
    <phoneticPr fontId="1"/>
  </si>
  <si>
    <t>１人目</t>
    <rPh sb="1" eb="2">
      <t>ニン</t>
    </rPh>
    <rPh sb="2" eb="3">
      <t>メ</t>
    </rPh>
    <phoneticPr fontId="1"/>
  </si>
  <si>
    <t>２人目</t>
    <rPh sb="1" eb="2">
      <t>ニン</t>
    </rPh>
    <rPh sb="2" eb="3">
      <t>メ</t>
    </rPh>
    <phoneticPr fontId="1"/>
  </si>
  <si>
    <t>生年月日</t>
    <rPh sb="0" eb="2">
      <t>セイネン</t>
    </rPh>
    <rPh sb="2" eb="4">
      <t>ガッピ</t>
    </rPh>
    <phoneticPr fontId="1"/>
  </si>
  <si>
    <t>年金収入額Ｂ</t>
    <rPh sb="0" eb="2">
      <t>ネンキン</t>
    </rPh>
    <rPh sb="2" eb="4">
      <t>シュウニュウ</t>
    </rPh>
    <rPh sb="4" eb="5">
      <t>ガク</t>
    </rPh>
    <phoneticPr fontId="1"/>
  </si>
  <si>
    <t>Ｂ</t>
    <phoneticPr fontId="1"/>
  </si>
  <si>
    <t>（Ｂ×</t>
    <phoneticPr fontId="1"/>
  </si>
  <si>
    <t>）</t>
    <phoneticPr fontId="1"/>
  </si>
  <si>
    <t>３人目</t>
    <rPh sb="1" eb="2">
      <t>ニン</t>
    </rPh>
    <rPh sb="2" eb="3">
      <t>メ</t>
    </rPh>
    <phoneticPr fontId="1"/>
  </si>
  <si>
    <t>４人目</t>
    <rPh sb="1" eb="2">
      <t>ニン</t>
    </rPh>
    <rPh sb="2" eb="3">
      <t>メ</t>
    </rPh>
    <phoneticPr fontId="1"/>
  </si>
  <si>
    <t>５人目</t>
    <rPh sb="1" eb="2">
      <t>ニン</t>
    </rPh>
    <rPh sb="2" eb="3">
      <t>メ</t>
    </rPh>
    <phoneticPr fontId="1"/>
  </si>
  <si>
    <t>給与所得額の計算式</t>
    <rPh sb="0" eb="2">
      <t>キュウヨ</t>
    </rPh>
    <rPh sb="2" eb="4">
      <t>ショトク</t>
    </rPh>
    <rPh sb="4" eb="5">
      <t>ガク</t>
    </rPh>
    <rPh sb="6" eb="8">
      <t>ケイサン</t>
    </rPh>
    <rPh sb="8" eb="9">
      <t>シキ</t>
    </rPh>
    <phoneticPr fontId="1"/>
  </si>
  <si>
    <t>給与所得額（最下行の黄色セルの数値）</t>
    <rPh sb="0" eb="2">
      <t>キュウヨ</t>
    </rPh>
    <rPh sb="2" eb="4">
      <t>ショトク</t>
    </rPh>
    <rPh sb="4" eb="5">
      <t>ガク</t>
    </rPh>
    <rPh sb="6" eb="9">
      <t>サイカギョウ</t>
    </rPh>
    <rPh sb="10" eb="12">
      <t>キイロ</t>
    </rPh>
    <rPh sb="15" eb="17">
      <t>スウチ</t>
    </rPh>
    <phoneticPr fontId="1"/>
  </si>
  <si>
    <t>年金所得額の計算式</t>
    <rPh sb="0" eb="2">
      <t>ネンキン</t>
    </rPh>
    <rPh sb="2" eb="4">
      <t>ショトク</t>
    </rPh>
    <rPh sb="4" eb="5">
      <t>ガク</t>
    </rPh>
    <rPh sb="6" eb="8">
      <t>ケイサン</t>
    </rPh>
    <rPh sb="8" eb="9">
      <t>シキ</t>
    </rPh>
    <phoneticPr fontId="1"/>
  </si>
  <si>
    <t>年金所得額（最下行の黄色セルの数値）</t>
    <rPh sb="0" eb="2">
      <t>ネンキン</t>
    </rPh>
    <rPh sb="2" eb="4">
      <t>ショトク</t>
    </rPh>
    <rPh sb="4" eb="5">
      <t>ガク</t>
    </rPh>
    <rPh sb="6" eb="9">
      <t>サイカギョウ</t>
    </rPh>
    <rPh sb="10" eb="12">
      <t>キイロ</t>
    </rPh>
    <rPh sb="15" eb="17">
      <t>スウチ</t>
    </rPh>
    <phoneticPr fontId="1"/>
  </si>
  <si>
    <t>年金所得以外の合計所得金額</t>
    <rPh sb="0" eb="2">
      <t>ネンキン</t>
    </rPh>
    <rPh sb="2" eb="4">
      <t>ショトク</t>
    </rPh>
    <rPh sb="4" eb="6">
      <t>イガイ</t>
    </rPh>
    <rPh sb="7" eb="9">
      <t>ゴウケイ</t>
    </rPh>
    <rPh sb="9" eb="11">
      <t>ショトク</t>
    </rPh>
    <rPh sb="11" eb="13">
      <t>キンガク</t>
    </rPh>
    <phoneticPr fontId="1"/>
  </si>
  <si>
    <t>生年月日</t>
    <rPh sb="0" eb="2">
      <t>セイネン</t>
    </rPh>
    <rPh sb="2" eb="4">
      <t>ガッピ</t>
    </rPh>
    <phoneticPr fontId="1"/>
  </si>
  <si>
    <t>年金収入額</t>
    <rPh sb="0" eb="2">
      <t>ネンキン</t>
    </rPh>
    <rPh sb="2" eb="4">
      <t>シュウニュウ</t>
    </rPh>
    <rPh sb="4" eb="5">
      <t>ガク</t>
    </rPh>
    <phoneticPr fontId="1"/>
  </si>
  <si>
    <t>※　入力用シートから参照</t>
    <rPh sb="2" eb="5">
      <t>ニュウリョクヨウ</t>
    </rPh>
    <rPh sb="10" eb="12">
      <t>サンショウ</t>
    </rPh>
    <phoneticPr fontId="1"/>
  </si>
  <si>
    <t>給与収入額</t>
    <rPh sb="0" eb="2">
      <t>キュウヨ</t>
    </rPh>
    <rPh sb="2" eb="4">
      <t>シュウニュウ</t>
    </rPh>
    <rPh sb="4" eb="5">
      <t>ガク</t>
    </rPh>
    <phoneticPr fontId="1"/>
  </si>
  <si>
    <t>※　入力用シートから参照</t>
    <phoneticPr fontId="1"/>
  </si>
  <si>
    <t>65歳以上</t>
    <rPh sb="2" eb="3">
      <t>サイ</t>
    </rPh>
    <rPh sb="3" eb="5">
      <t>イジョウ</t>
    </rPh>
    <phoneticPr fontId="1"/>
  </si>
  <si>
    <t>65歳未満</t>
    <rPh sb="2" eb="3">
      <t>サイ</t>
    </rPh>
    <rPh sb="3" eb="5">
      <t>ミマン</t>
    </rPh>
    <phoneticPr fontId="1"/>
  </si>
  <si>
    <t>65歳到達者の誕生年の1/1　→</t>
    <rPh sb="2" eb="3">
      <t>サイ</t>
    </rPh>
    <rPh sb="3" eb="5">
      <t>トウタツ</t>
    </rPh>
    <rPh sb="5" eb="6">
      <t>シャ</t>
    </rPh>
    <rPh sb="7" eb="9">
      <t>タンジョウ</t>
    </rPh>
    <rPh sb="9" eb="10">
      <t>ネン</t>
    </rPh>
    <phoneticPr fontId="1"/>
  </si>
  <si>
    <t>年金所得以外の合計所得金額</t>
    <rPh sb="0" eb="2">
      <t>ネンキン</t>
    </rPh>
    <rPh sb="2" eb="4">
      <t>ショトク</t>
    </rPh>
    <rPh sb="4" eb="6">
      <t>イガイ</t>
    </rPh>
    <rPh sb="7" eb="9">
      <t>ゴウケイ</t>
    </rPh>
    <rPh sb="9" eb="11">
      <t>ショトク</t>
    </rPh>
    <rPh sb="11" eb="13">
      <t>キンガク</t>
    </rPh>
    <phoneticPr fontId="1"/>
  </si>
  <si>
    <t>※　年金所得以外の合計所得金額の区分</t>
    <rPh sb="2" eb="4">
      <t>ネンキン</t>
    </rPh>
    <rPh sb="4" eb="6">
      <t>ショトク</t>
    </rPh>
    <rPh sb="6" eb="8">
      <t>イガイ</t>
    </rPh>
    <rPh sb="9" eb="11">
      <t>ゴウケイ</t>
    </rPh>
    <rPh sb="11" eb="13">
      <t>ショトク</t>
    </rPh>
    <rPh sb="13" eb="15">
      <t>キンガク</t>
    </rPh>
    <rPh sb="16" eb="18">
      <t>クブン</t>
    </rPh>
    <phoneticPr fontId="1"/>
  </si>
  <si>
    <t>年金所得の増加額</t>
    <rPh sb="0" eb="2">
      <t>ネンキン</t>
    </rPh>
    <rPh sb="2" eb="4">
      <t>ショトク</t>
    </rPh>
    <rPh sb="5" eb="7">
      <t>ゾウカ</t>
    </rPh>
    <rPh sb="7" eb="8">
      <t>ガク</t>
    </rPh>
    <phoneticPr fontId="1"/>
  </si>
  <si>
    <t>※　ゼロ以下はゼロ　→</t>
    <rPh sb="4" eb="6">
      <t>イカ</t>
    </rPh>
    <phoneticPr fontId="1"/>
  </si>
  <si>
    <t>基礎控除</t>
    <rPh sb="0" eb="2">
      <t>キソ</t>
    </rPh>
    <rPh sb="2" eb="4">
      <t>コウジョ</t>
    </rPh>
    <phoneticPr fontId="1"/>
  </si>
  <si>
    <t>合計所得金額</t>
    <rPh sb="0" eb="2">
      <t>ゴウケイ</t>
    </rPh>
    <rPh sb="2" eb="4">
      <t>ショトク</t>
    </rPh>
    <rPh sb="4" eb="6">
      <t>キンガク</t>
    </rPh>
    <phoneticPr fontId="1"/>
  </si>
  <si>
    <t>基礎控除額</t>
    <rPh sb="0" eb="2">
      <t>キソ</t>
    </rPh>
    <rPh sb="2" eb="4">
      <t>コウジョ</t>
    </rPh>
    <rPh sb="4" eb="5">
      <t>ガク</t>
    </rPh>
    <phoneticPr fontId="1"/>
  </si>
  <si>
    <t>該当者の年金所得の増加額</t>
    <rPh sb="0" eb="3">
      <t>ガイトウシャ</t>
    </rPh>
    <rPh sb="4" eb="6">
      <t>ネンキン</t>
    </rPh>
    <rPh sb="6" eb="8">
      <t>ショトク</t>
    </rPh>
    <rPh sb="9" eb="11">
      <t>ゾウカ</t>
    </rPh>
    <rPh sb="11" eb="12">
      <t>ガク</t>
    </rPh>
    <phoneticPr fontId="1"/>
  </si>
  <si>
    <t>該当者の基礎控除額（最下行の黄色セルの数値）</t>
    <rPh sb="0" eb="3">
      <t>ガイトウシャ</t>
    </rPh>
    <rPh sb="4" eb="6">
      <t>キソ</t>
    </rPh>
    <rPh sb="6" eb="8">
      <t>コウジョ</t>
    </rPh>
    <rPh sb="8" eb="9">
      <t>ガク</t>
    </rPh>
    <phoneticPr fontId="1"/>
  </si>
  <si>
    <t>加入月数</t>
    <rPh sb="0" eb="2">
      <t>カニュウ</t>
    </rPh>
    <rPh sb="2" eb="3">
      <t>ツキ</t>
    </rPh>
    <rPh sb="3" eb="4">
      <t>スウ</t>
    </rPh>
    <phoneticPr fontId="1"/>
  </si>
  <si>
    <t>所得割率</t>
    <rPh sb="0" eb="2">
      <t>ショトク</t>
    </rPh>
    <rPh sb="2" eb="3">
      <t>ワリ</t>
    </rPh>
    <rPh sb="3" eb="4">
      <t>リツ</t>
    </rPh>
    <phoneticPr fontId="1"/>
  </si>
  <si>
    <t>医療</t>
    <rPh sb="0" eb="2">
      <t>イリョウ</t>
    </rPh>
    <phoneticPr fontId="1"/>
  </si>
  <si>
    <t>支援</t>
    <rPh sb="0" eb="2">
      <t>シエン</t>
    </rPh>
    <phoneticPr fontId="1"/>
  </si>
  <si>
    <t>介護</t>
    <rPh sb="0" eb="2">
      <t>カイゴ</t>
    </rPh>
    <phoneticPr fontId="1"/>
  </si>
  <si>
    <t>均等割額</t>
    <rPh sb="0" eb="3">
      <t>キントウワ</t>
    </rPh>
    <rPh sb="3" eb="4">
      <t>ガク</t>
    </rPh>
    <phoneticPr fontId="1"/>
  </si>
  <si>
    <t>平等割額</t>
    <rPh sb="0" eb="2">
      <t>ビョウドウ</t>
    </rPh>
    <rPh sb="2" eb="3">
      <t>ワリ</t>
    </rPh>
    <rPh sb="3" eb="4">
      <t>ガク</t>
    </rPh>
    <phoneticPr fontId="1"/>
  </si>
  <si>
    <t>限度額</t>
    <rPh sb="0" eb="2">
      <t>ゲンド</t>
    </rPh>
    <rPh sb="2" eb="3">
      <t>ガク</t>
    </rPh>
    <phoneticPr fontId="1"/>
  </si>
  <si>
    <t>加入月数</t>
    <rPh sb="0" eb="2">
      <t>カニュウ</t>
    </rPh>
    <rPh sb="2" eb="3">
      <t>ツキ</t>
    </rPh>
    <rPh sb="3" eb="4">
      <t>スウ</t>
    </rPh>
    <phoneticPr fontId="1"/>
  </si>
  <si>
    <t>国民健康保険税　世帯試算計算結果</t>
    <rPh sb="0" eb="2">
      <t>コクミン</t>
    </rPh>
    <rPh sb="2" eb="4">
      <t>ケンコウ</t>
    </rPh>
    <rPh sb="4" eb="6">
      <t>ホケン</t>
    </rPh>
    <rPh sb="6" eb="7">
      <t>ゼイ</t>
    </rPh>
    <rPh sb="8" eb="10">
      <t>セタイ</t>
    </rPh>
    <rPh sb="10" eb="12">
      <t>シサン</t>
    </rPh>
    <rPh sb="12" eb="14">
      <t>ケイサン</t>
    </rPh>
    <rPh sb="14" eb="16">
      <t>ケッカ</t>
    </rPh>
    <phoneticPr fontId="1"/>
  </si>
  <si>
    <t>年齢要件</t>
    <rPh sb="0" eb="2">
      <t>ネンレイ</t>
    </rPh>
    <rPh sb="2" eb="4">
      <t>ヨウケン</t>
    </rPh>
    <phoneticPr fontId="1"/>
  </si>
  <si>
    <t>翌年度4/1が7歳の誕生日の者の生年月日</t>
    <rPh sb="0" eb="3">
      <t>ヨクネンド</t>
    </rPh>
    <rPh sb="8" eb="9">
      <t>サイ</t>
    </rPh>
    <rPh sb="10" eb="13">
      <t>タンジョウビ</t>
    </rPh>
    <rPh sb="14" eb="15">
      <t>モノ</t>
    </rPh>
    <rPh sb="16" eb="18">
      <t>セイネン</t>
    </rPh>
    <rPh sb="18" eb="20">
      <t>ガッピ</t>
    </rPh>
    <phoneticPr fontId="1"/>
  </si>
  <si>
    <t>賦課年度</t>
    <rPh sb="0" eb="2">
      <t>フカ</t>
    </rPh>
    <rPh sb="2" eb="4">
      <t>ネンド</t>
    </rPh>
    <phoneticPr fontId="1"/>
  </si>
  <si>
    <t>賦課年度</t>
    <rPh sb="0" eb="2">
      <t>フカ</t>
    </rPh>
    <rPh sb="2" eb="4">
      <t>ネンド</t>
    </rPh>
    <phoneticPr fontId="1"/>
  </si>
  <si>
    <t>翌年度4/1が40歳の誕生日の者の生年月日</t>
    <rPh sb="0" eb="3">
      <t>ヨクネンド</t>
    </rPh>
    <rPh sb="9" eb="10">
      <t>サイ</t>
    </rPh>
    <rPh sb="11" eb="14">
      <t>タンジョウビ</t>
    </rPh>
    <rPh sb="15" eb="16">
      <t>モノ</t>
    </rPh>
    <rPh sb="17" eb="19">
      <t>セイネン</t>
    </rPh>
    <rPh sb="19" eb="21">
      <t>ガッピ</t>
    </rPh>
    <phoneticPr fontId="1"/>
  </si>
  <si>
    <t>当年度5/1が65歳の誕生日の者の生年月日</t>
    <rPh sb="0" eb="3">
      <t>トウネンド</t>
    </rPh>
    <rPh sb="9" eb="10">
      <t>サイ</t>
    </rPh>
    <rPh sb="11" eb="14">
      <t>タンジョウビ</t>
    </rPh>
    <rPh sb="15" eb="16">
      <t>モノ</t>
    </rPh>
    <rPh sb="17" eb="19">
      <t>セイネン</t>
    </rPh>
    <rPh sb="19" eb="21">
      <t>ガッピ</t>
    </rPh>
    <phoneticPr fontId="1"/>
  </si>
  <si>
    <t>未就学児該当</t>
    <rPh sb="0" eb="4">
      <t>ミシュウガクジ</t>
    </rPh>
    <rPh sb="4" eb="6">
      <t>ガイトウ</t>
    </rPh>
    <phoneticPr fontId="1"/>
  </si>
  <si>
    <t>介護分なし</t>
    <rPh sb="0" eb="2">
      <t>カイゴ</t>
    </rPh>
    <rPh sb="2" eb="3">
      <t>ブン</t>
    </rPh>
    <phoneticPr fontId="1"/>
  </si>
  <si>
    <t>当年度5/1が75歳の誕生日の者の生年月日</t>
    <rPh sb="0" eb="3">
      <t>トウネンド</t>
    </rPh>
    <rPh sb="9" eb="10">
      <t>サイ</t>
    </rPh>
    <rPh sb="11" eb="14">
      <t>タンジョウビ</t>
    </rPh>
    <rPh sb="15" eb="16">
      <t>モノ</t>
    </rPh>
    <rPh sb="17" eb="19">
      <t>セイネン</t>
    </rPh>
    <rPh sb="19" eb="21">
      <t>ガッピ</t>
    </rPh>
    <phoneticPr fontId="1"/>
  </si>
  <si>
    <t>介護分あり</t>
    <rPh sb="0" eb="2">
      <t>カイゴ</t>
    </rPh>
    <rPh sb="2" eb="3">
      <t>ブン</t>
    </rPh>
    <phoneticPr fontId="1"/>
  </si>
  <si>
    <t>翌年度4/1</t>
    <rPh sb="0" eb="3">
      <t>ヨクネンド</t>
    </rPh>
    <phoneticPr fontId="1"/>
  </si>
  <si>
    <t>国保加入期間なし</t>
    <rPh sb="0" eb="2">
      <t>コクホ</t>
    </rPh>
    <rPh sb="2" eb="4">
      <t>カニュウ</t>
    </rPh>
    <rPh sb="4" eb="6">
      <t>キカン</t>
    </rPh>
    <phoneticPr fontId="1"/>
  </si>
  <si>
    <t>世帯全体</t>
    <rPh sb="0" eb="2">
      <t>セタイ</t>
    </rPh>
    <rPh sb="2" eb="4">
      <t>ゼンタイ</t>
    </rPh>
    <phoneticPr fontId="1"/>
  </si>
  <si>
    <t>６人目</t>
    <rPh sb="1" eb="2">
      <t>ニン</t>
    </rPh>
    <rPh sb="2" eb="3">
      <t>メ</t>
    </rPh>
    <phoneticPr fontId="1"/>
  </si>
  <si>
    <t>７人目</t>
    <rPh sb="1" eb="2">
      <t>ニン</t>
    </rPh>
    <rPh sb="2" eb="3">
      <t>メ</t>
    </rPh>
    <phoneticPr fontId="1"/>
  </si>
  <si>
    <t>８人目</t>
    <rPh sb="1" eb="2">
      <t>ニン</t>
    </rPh>
    <rPh sb="2" eb="3">
      <t>メ</t>
    </rPh>
    <phoneticPr fontId="1"/>
  </si>
  <si>
    <t>９人目</t>
    <rPh sb="1" eb="2">
      <t>ニン</t>
    </rPh>
    <rPh sb="2" eb="3">
      <t>メ</t>
    </rPh>
    <phoneticPr fontId="1"/>
  </si>
  <si>
    <t>１０人目</t>
    <rPh sb="2" eb="3">
      <t>ニン</t>
    </rPh>
    <rPh sb="3" eb="4">
      <t>メ</t>
    </rPh>
    <phoneticPr fontId="1"/>
  </si>
  <si>
    <t>課税総所得</t>
    <rPh sb="0" eb="2">
      <t>カゼイ</t>
    </rPh>
    <rPh sb="2" eb="5">
      <t>ソウショトク</t>
    </rPh>
    <phoneticPr fontId="1"/>
  </si>
  <si>
    <t>限度額
（加入月分）</t>
    <rPh sb="0" eb="2">
      <t>ゲンド</t>
    </rPh>
    <rPh sb="2" eb="3">
      <t>ガク</t>
    </rPh>
    <rPh sb="5" eb="7">
      <t>カニュウ</t>
    </rPh>
    <rPh sb="7" eb="8">
      <t>ツキ</t>
    </rPh>
    <rPh sb="8" eb="9">
      <t>ブン</t>
    </rPh>
    <phoneticPr fontId="1"/>
  </si>
  <si>
    <r>
      <t xml:space="preserve">算出税額
</t>
    </r>
    <r>
      <rPr>
        <sz val="10"/>
        <color theme="1"/>
        <rFont val="ＭＳ Ｐゴシック"/>
        <family val="3"/>
        <charset val="128"/>
      </rPr>
      <t>（端数処理後）</t>
    </r>
    <rPh sb="0" eb="2">
      <t>サンシュツ</t>
    </rPh>
    <rPh sb="2" eb="3">
      <t>ゼイ</t>
    </rPh>
    <rPh sb="3" eb="4">
      <t>ガク</t>
    </rPh>
    <rPh sb="6" eb="8">
      <t>ハスウ</t>
    </rPh>
    <rPh sb="8" eb="10">
      <t>ショリ</t>
    </rPh>
    <rPh sb="10" eb="11">
      <t>ゴ</t>
    </rPh>
    <phoneticPr fontId="1"/>
  </si>
  <si>
    <t>参考税額端数</t>
    <rPh sb="0" eb="2">
      <t>サンコウ</t>
    </rPh>
    <rPh sb="2" eb="4">
      <t>ゼイガク</t>
    </rPh>
    <rPh sb="4" eb="6">
      <t>ハスウ</t>
    </rPh>
    <phoneticPr fontId="1"/>
  </si>
  <si>
    <t>参考税額（仮）</t>
    <rPh sb="0" eb="2">
      <t>サンコウ</t>
    </rPh>
    <rPh sb="2" eb="4">
      <t>ゼイガク</t>
    </rPh>
    <rPh sb="5" eb="6">
      <t>カリ</t>
    </rPh>
    <phoneticPr fontId="1"/>
  </si>
  <si>
    <t>→以下、参考税額算出用データ。</t>
    <rPh sb="1" eb="3">
      <t>イカ</t>
    </rPh>
    <rPh sb="4" eb="6">
      <t>サンコウ</t>
    </rPh>
    <rPh sb="6" eb="8">
      <t>ゼイガク</t>
    </rPh>
    <rPh sb="8" eb="10">
      <t>サンシュツ</t>
    </rPh>
    <rPh sb="10" eb="11">
      <t>ヨウ</t>
    </rPh>
    <phoneticPr fontId="1"/>
  </si>
  <si>
    <t>所得割額
（加入月分）</t>
    <rPh sb="0" eb="2">
      <t>ショトク</t>
    </rPh>
    <rPh sb="2" eb="3">
      <t>ワリ</t>
    </rPh>
    <rPh sb="3" eb="4">
      <t>ガク</t>
    </rPh>
    <rPh sb="6" eb="8">
      <t>カニュウ</t>
    </rPh>
    <rPh sb="8" eb="9">
      <t>ツキ</t>
    </rPh>
    <rPh sb="9" eb="10">
      <t>ブン</t>
    </rPh>
    <phoneticPr fontId="1"/>
  </si>
  <si>
    <t>平等割額
（加入月分）</t>
    <rPh sb="0" eb="2">
      <t>ビョウドウ</t>
    </rPh>
    <rPh sb="2" eb="3">
      <t>ワリ</t>
    </rPh>
    <rPh sb="3" eb="4">
      <t>ガク</t>
    </rPh>
    <rPh sb="6" eb="8">
      <t>カニュウ</t>
    </rPh>
    <rPh sb="8" eb="9">
      <t>ツキ</t>
    </rPh>
    <rPh sb="9" eb="10">
      <t>ブン</t>
    </rPh>
    <phoneticPr fontId="1"/>
  </si>
  <si>
    <t>個人年税額Ａ</t>
    <rPh sb="0" eb="2">
      <t>コジン</t>
    </rPh>
    <rPh sb="2" eb="5">
      <t>ネンゼイガク</t>
    </rPh>
    <phoneticPr fontId="1"/>
  </si>
  <si>
    <t>参考税額</t>
    <rPh sb="0" eb="2">
      <t>サンコウ</t>
    </rPh>
    <rPh sb="2" eb="4">
      <t>ゼイガク</t>
    </rPh>
    <phoneticPr fontId="1"/>
  </si>
  <si>
    <t>＜年齢要件判定用基準日＞</t>
    <rPh sb="1" eb="3">
      <t>ネンレイ</t>
    </rPh>
    <rPh sb="3" eb="5">
      <t>ヨウケン</t>
    </rPh>
    <rPh sb="5" eb="7">
      <t>ハンテイ</t>
    </rPh>
    <rPh sb="7" eb="8">
      <t>ヨウ</t>
    </rPh>
    <rPh sb="8" eb="11">
      <t>キジュンビ</t>
    </rPh>
    <phoneticPr fontId="1"/>
  </si>
  <si>
    <t>←この日以後生まれた子は、当該賦課年度において国保税が賦課される月がない。
※　この日の前日に生まれた子は、当該賦課年度において、3月分のみ国保税が賦課される。</t>
    <rPh sb="3" eb="4">
      <t>ヒ</t>
    </rPh>
    <rPh sb="4" eb="6">
      <t>イゴ</t>
    </rPh>
    <rPh sb="6" eb="7">
      <t>ウ</t>
    </rPh>
    <rPh sb="10" eb="11">
      <t>コ</t>
    </rPh>
    <rPh sb="13" eb="15">
      <t>トウガイ</t>
    </rPh>
    <rPh sb="15" eb="17">
      <t>フカ</t>
    </rPh>
    <rPh sb="17" eb="19">
      <t>ネンド</t>
    </rPh>
    <rPh sb="23" eb="25">
      <t>コクホ</t>
    </rPh>
    <rPh sb="25" eb="26">
      <t>ゼイ</t>
    </rPh>
    <rPh sb="27" eb="29">
      <t>フカ</t>
    </rPh>
    <rPh sb="32" eb="33">
      <t>ツキ</t>
    </rPh>
    <phoneticPr fontId="1"/>
  </si>
  <si>
    <t>←この日よりも後に生まれた子は、当該賦課年度において未就学児。
※　この日生まれた子は、当該賦課年度において未就学児でない。</t>
    <rPh sb="3" eb="4">
      <t>ヒ</t>
    </rPh>
    <rPh sb="7" eb="8">
      <t>アト</t>
    </rPh>
    <rPh sb="9" eb="10">
      <t>ウ</t>
    </rPh>
    <rPh sb="13" eb="14">
      <t>コ</t>
    </rPh>
    <rPh sb="16" eb="18">
      <t>トウガイ</t>
    </rPh>
    <rPh sb="18" eb="20">
      <t>フカ</t>
    </rPh>
    <rPh sb="20" eb="22">
      <t>ネンド</t>
    </rPh>
    <rPh sb="26" eb="30">
      <t>ミシュウガクジ</t>
    </rPh>
    <phoneticPr fontId="1"/>
  </si>
  <si>
    <t>←この日よりも後に生まれた人は、当該賦課年度において介護適用月がない。
※　この日生まれた人は、当該賦課年度において、3月のみ介護適用。</t>
    <rPh sb="3" eb="4">
      <t>ヒ</t>
    </rPh>
    <rPh sb="7" eb="8">
      <t>アト</t>
    </rPh>
    <rPh sb="9" eb="10">
      <t>ウ</t>
    </rPh>
    <rPh sb="13" eb="14">
      <t>ヒト</t>
    </rPh>
    <rPh sb="16" eb="18">
      <t>トウガイ</t>
    </rPh>
    <rPh sb="18" eb="20">
      <t>フカ</t>
    </rPh>
    <rPh sb="20" eb="22">
      <t>ネンド</t>
    </rPh>
    <rPh sb="26" eb="28">
      <t>カイゴ</t>
    </rPh>
    <rPh sb="28" eb="30">
      <t>テキヨウ</t>
    </rPh>
    <rPh sb="30" eb="31">
      <t>ツキ</t>
    </rPh>
    <phoneticPr fontId="1"/>
  </si>
  <si>
    <t>←この日以前に生まれた人は、当該賦課年度において介護適用月がない。
※　この日の翌日に生まれた人は、当該賦課年度において、4月のみ介護適用。</t>
    <rPh sb="3" eb="4">
      <t>ヒ</t>
    </rPh>
    <rPh sb="4" eb="6">
      <t>イゼン</t>
    </rPh>
    <rPh sb="7" eb="8">
      <t>ウ</t>
    </rPh>
    <rPh sb="11" eb="12">
      <t>ヒト</t>
    </rPh>
    <rPh sb="14" eb="16">
      <t>トウガイ</t>
    </rPh>
    <rPh sb="16" eb="18">
      <t>フカ</t>
    </rPh>
    <rPh sb="18" eb="20">
      <t>ネンド</t>
    </rPh>
    <rPh sb="24" eb="26">
      <t>カイゴ</t>
    </rPh>
    <rPh sb="26" eb="28">
      <t>テキヨウ</t>
    </rPh>
    <rPh sb="28" eb="29">
      <t>ツキ</t>
    </rPh>
    <phoneticPr fontId="1"/>
  </si>
  <si>
    <t>←この日よりも前に生まれた人は、当該賦課年度において国保税が賦課される月がない。
※　この日に生まれた人は、当該賦課年度において、4月分のみ国保税が賦課される。</t>
    <rPh sb="3" eb="4">
      <t>ヒ</t>
    </rPh>
    <rPh sb="7" eb="8">
      <t>マエ</t>
    </rPh>
    <rPh sb="9" eb="10">
      <t>ウ</t>
    </rPh>
    <rPh sb="13" eb="14">
      <t>ヒト</t>
    </rPh>
    <rPh sb="16" eb="18">
      <t>トウガイ</t>
    </rPh>
    <rPh sb="18" eb="20">
      <t>フカ</t>
    </rPh>
    <rPh sb="20" eb="22">
      <t>ネンド</t>
    </rPh>
    <rPh sb="26" eb="28">
      <t>コクホ</t>
    </rPh>
    <rPh sb="28" eb="29">
      <t>ゼイ</t>
    </rPh>
    <rPh sb="30" eb="32">
      <t>フカ</t>
    </rPh>
    <rPh sb="35" eb="36">
      <t>ツキ</t>
    </rPh>
    <rPh sb="36" eb="37">
      <t>カツキ</t>
    </rPh>
    <phoneticPr fontId="1"/>
  </si>
  <si>
    <t>税率等</t>
    <phoneticPr fontId="1"/>
  </si>
  <si>
    <t>低所得世帯軽減</t>
    <rPh sb="0" eb="3">
      <t>テイショトク</t>
    </rPh>
    <rPh sb="3" eb="5">
      <t>セタイ</t>
    </rPh>
    <rPh sb="5" eb="7">
      <t>ケイゲン</t>
    </rPh>
    <phoneticPr fontId="1"/>
  </si>
  <si>
    <t>２割軽減</t>
    <rPh sb="1" eb="2">
      <t>ワリ</t>
    </rPh>
    <rPh sb="2" eb="4">
      <t>ケイゲン</t>
    </rPh>
    <phoneticPr fontId="1"/>
  </si>
  <si>
    <t>７割軽減</t>
    <rPh sb="1" eb="2">
      <t>ワリ</t>
    </rPh>
    <rPh sb="2" eb="4">
      <t>ケイゲン</t>
    </rPh>
    <phoneticPr fontId="1"/>
  </si>
  <si>
    <t>５割軽減</t>
    <rPh sb="1" eb="2">
      <t>ワリ</t>
    </rPh>
    <rPh sb="2" eb="4">
      <t>ケイゲン</t>
    </rPh>
    <phoneticPr fontId="1"/>
  </si>
  <si>
    <t>←この表の入力規制リスト</t>
    <rPh sb="3" eb="4">
      <t>ヒョウ</t>
    </rPh>
    <rPh sb="5" eb="7">
      <t>ニュウリョク</t>
    </rPh>
    <rPh sb="7" eb="9">
      <t>キセイ</t>
    </rPh>
    <phoneticPr fontId="1"/>
  </si>
  <si>
    <t>医療</t>
    <rPh sb="0" eb="2">
      <t>イリョウ</t>
    </rPh>
    <phoneticPr fontId="1"/>
  </si>
  <si>
    <t>支援</t>
    <rPh sb="0" eb="2">
      <t>シエン</t>
    </rPh>
    <phoneticPr fontId="1"/>
  </si>
  <si>
    <t>介護</t>
    <rPh sb="0" eb="2">
      <t>カイゴ</t>
    </rPh>
    <phoneticPr fontId="1"/>
  </si>
  <si>
    <t>計</t>
    <rPh sb="0" eb="1">
      <t>ケイ</t>
    </rPh>
    <phoneticPr fontId="1"/>
  </si>
  <si>
    <t>第１期</t>
    <rPh sb="0" eb="1">
      <t>ダイ</t>
    </rPh>
    <rPh sb="2" eb="3">
      <t>キ</t>
    </rPh>
    <phoneticPr fontId="1"/>
  </si>
  <si>
    <t>第２期</t>
    <rPh sb="0" eb="1">
      <t>ダイ</t>
    </rPh>
    <rPh sb="2" eb="3">
      <t>キ</t>
    </rPh>
    <phoneticPr fontId="1"/>
  </si>
  <si>
    <t>第３期</t>
    <rPh sb="0" eb="1">
      <t>ダイ</t>
    </rPh>
    <rPh sb="2" eb="3">
      <t>キ</t>
    </rPh>
    <phoneticPr fontId="1"/>
  </si>
  <si>
    <t>第４期</t>
    <rPh sb="0" eb="1">
      <t>ダイ</t>
    </rPh>
    <rPh sb="2" eb="3">
      <t>キ</t>
    </rPh>
    <phoneticPr fontId="1"/>
  </si>
  <si>
    <t>第５期</t>
    <rPh sb="0" eb="1">
      <t>ダイ</t>
    </rPh>
    <rPh sb="2" eb="3">
      <t>キ</t>
    </rPh>
    <phoneticPr fontId="1"/>
  </si>
  <si>
    <t>第６期</t>
    <rPh sb="0" eb="1">
      <t>ダイ</t>
    </rPh>
    <rPh sb="2" eb="3">
      <t>キ</t>
    </rPh>
    <phoneticPr fontId="1"/>
  </si>
  <si>
    <t>第７期</t>
    <rPh sb="0" eb="1">
      <t>ダイ</t>
    </rPh>
    <rPh sb="2" eb="3">
      <t>キ</t>
    </rPh>
    <phoneticPr fontId="1"/>
  </si>
  <si>
    <t>第８期</t>
    <rPh sb="0" eb="1">
      <t>ダイ</t>
    </rPh>
    <rPh sb="2" eb="3">
      <t>キ</t>
    </rPh>
    <phoneticPr fontId="1"/>
  </si>
  <si>
    <t>（賦課年度：</t>
    <rPh sb="1" eb="3">
      <t>フカ</t>
    </rPh>
    <rPh sb="3" eb="5">
      <t>ネンド</t>
    </rPh>
    <phoneticPr fontId="1"/>
  </si>
  <si>
    <t>世帯全体</t>
    <rPh sb="0" eb="2">
      <t>セタイ</t>
    </rPh>
    <rPh sb="2" eb="4">
      <t>ゼンタイ</t>
    </rPh>
    <phoneticPr fontId="1"/>
  </si>
  <si>
    <t>期別税額</t>
    <rPh sb="0" eb="1">
      <t>キ</t>
    </rPh>
    <rPh sb="1" eb="2">
      <t>ベツ</t>
    </rPh>
    <rPh sb="2" eb="4">
      <t>ゼイガク</t>
    </rPh>
    <phoneticPr fontId="1"/>
  </si>
  <si>
    <t>【税額試算の基礎となる数値】</t>
    <rPh sb="1" eb="3">
      <t>ゼイガク</t>
    </rPh>
    <rPh sb="3" eb="5">
      <t>シサン</t>
    </rPh>
    <rPh sb="6" eb="8">
      <t>キソ</t>
    </rPh>
    <rPh sb="11" eb="13">
      <t>スウチ</t>
    </rPh>
    <phoneticPr fontId="1"/>
  </si>
  <si>
    <t>【試算結果】</t>
    <rPh sb="1" eb="3">
      <t>シサン</t>
    </rPh>
    <rPh sb="3" eb="5">
      <t>ケッカ</t>
    </rPh>
    <phoneticPr fontId="1"/>
  </si>
  <si>
    <t>納期限</t>
    <rPh sb="0" eb="3">
      <t>ノウキゲン</t>
    </rPh>
    <phoneticPr fontId="1"/>
  </si>
  <si>
    <t>７月末日</t>
    <rPh sb="1" eb="2">
      <t>ガツ</t>
    </rPh>
    <rPh sb="2" eb="3">
      <t>マツ</t>
    </rPh>
    <rPh sb="3" eb="4">
      <t>ジツ</t>
    </rPh>
    <phoneticPr fontId="1"/>
  </si>
  <si>
    <t>８月末日</t>
    <rPh sb="1" eb="2">
      <t>ガツ</t>
    </rPh>
    <rPh sb="2" eb="3">
      <t>マツ</t>
    </rPh>
    <rPh sb="3" eb="4">
      <t>ジツ</t>
    </rPh>
    <phoneticPr fontId="1"/>
  </si>
  <si>
    <t>９月末日</t>
    <rPh sb="1" eb="2">
      <t>ガツ</t>
    </rPh>
    <rPh sb="2" eb="3">
      <t>マツ</t>
    </rPh>
    <rPh sb="3" eb="4">
      <t>ジツ</t>
    </rPh>
    <phoneticPr fontId="1"/>
  </si>
  <si>
    <t>１０月末日</t>
    <rPh sb="2" eb="3">
      <t>ガツ</t>
    </rPh>
    <rPh sb="3" eb="4">
      <t>マツ</t>
    </rPh>
    <rPh sb="4" eb="5">
      <t>ジツ</t>
    </rPh>
    <phoneticPr fontId="1"/>
  </si>
  <si>
    <t>１１月末日</t>
    <rPh sb="2" eb="3">
      <t>ガツ</t>
    </rPh>
    <rPh sb="3" eb="4">
      <t>マツ</t>
    </rPh>
    <rPh sb="4" eb="5">
      <t>ジツ</t>
    </rPh>
    <phoneticPr fontId="1"/>
  </si>
  <si>
    <t>１２月末日</t>
    <rPh sb="2" eb="3">
      <t>ガツ</t>
    </rPh>
    <rPh sb="3" eb="4">
      <t>マツ</t>
    </rPh>
    <rPh sb="4" eb="5">
      <t>ジツ</t>
    </rPh>
    <phoneticPr fontId="1"/>
  </si>
  <si>
    <t>１月末日</t>
    <rPh sb="1" eb="2">
      <t>ガツ</t>
    </rPh>
    <rPh sb="2" eb="3">
      <t>マツ</t>
    </rPh>
    <rPh sb="3" eb="4">
      <t>ジツ</t>
    </rPh>
    <phoneticPr fontId="1"/>
  </si>
  <si>
    <t>２月末日</t>
    <rPh sb="1" eb="2">
      <t>ガツ</t>
    </rPh>
    <rPh sb="2" eb="3">
      <t>マツ</t>
    </rPh>
    <rPh sb="3" eb="4">
      <t>ジツ</t>
    </rPh>
    <phoneticPr fontId="1"/>
  </si>
  <si>
    <t>（国保に加入する月数（４月～翌年３月の間）：</t>
    <rPh sb="1" eb="3">
      <t>コクホ</t>
    </rPh>
    <rPh sb="4" eb="6">
      <t>カニュウ</t>
    </rPh>
    <rPh sb="8" eb="9">
      <t>ツキ</t>
    </rPh>
    <rPh sb="9" eb="10">
      <t>スウ</t>
    </rPh>
    <rPh sb="12" eb="13">
      <t>ガツ</t>
    </rPh>
    <rPh sb="14" eb="16">
      <t>ヨクネン</t>
    </rPh>
    <rPh sb="17" eb="18">
      <t>ガツ</t>
    </rPh>
    <rPh sb="19" eb="20">
      <t>アイダ</t>
    </rPh>
    <phoneticPr fontId="1"/>
  </si>
  <si>
    <t>か月）</t>
    <rPh sb="1" eb="2">
      <t>ゲツ</t>
    </rPh>
    <phoneticPr fontId="1"/>
  </si>
  <si>
    <t>月頃</t>
    <rPh sb="0" eb="1">
      <t>ツキ</t>
    </rPh>
    <rPh sb="1" eb="2">
      <t>コロ</t>
    </rPh>
    <phoneticPr fontId="1"/>
  </si>
  <si>
    <t>非自発的
失業</t>
    <rPh sb="0" eb="1">
      <t>ヒ</t>
    </rPh>
    <rPh sb="1" eb="4">
      <t>ジハツテキ</t>
    </rPh>
    <rPh sb="5" eb="6">
      <t>シツ</t>
    </rPh>
    <rPh sb="6" eb="7">
      <t>ギョウ</t>
    </rPh>
    <phoneticPr fontId="1"/>
  </si>
  <si>
    <t>所得金額
調整控除</t>
    <rPh sb="0" eb="2">
      <t>ショトク</t>
    </rPh>
    <rPh sb="2" eb="4">
      <t>キンガク</t>
    </rPh>
    <rPh sb="5" eb="7">
      <t>チョウセイ</t>
    </rPh>
    <rPh sb="7" eb="9">
      <t>コウジョ</t>
    </rPh>
    <phoneticPr fontId="1"/>
  </si>
  <si>
    <t>課税総所得額</t>
    <rPh sb="0" eb="2">
      <t>カゼイ</t>
    </rPh>
    <rPh sb="2" eb="5">
      <t>ソウショトク</t>
    </rPh>
    <rPh sb="5" eb="6">
      <t>ガク</t>
    </rPh>
    <phoneticPr fontId="1"/>
  </si>
  <si>
    <t>（</t>
    <phoneticPr fontId="1"/>
  </si>
  <si>
    <t>か月分）</t>
    <rPh sb="1" eb="2">
      <t>ゲツ</t>
    </rPh>
    <rPh sb="2" eb="3">
      <t>ブン</t>
    </rPh>
    <phoneticPr fontId="1"/>
  </si>
  <si>
    <t>【税率等】</t>
    <rPh sb="1" eb="3">
      <t>ゼイリツ</t>
    </rPh>
    <rPh sb="3" eb="4">
      <t>トウ</t>
    </rPh>
    <phoneticPr fontId="1"/>
  </si>
  <si>
    <t>（1か月あたりの税額）</t>
    <rPh sb="3" eb="4">
      <t>ゲツ</t>
    </rPh>
    <rPh sb="8" eb="10">
      <t>ゼイガク</t>
    </rPh>
    <phoneticPr fontId="1"/>
  </si>
  <si>
    <t>翌年1</t>
    <rPh sb="0" eb="2">
      <t>ヨクネン</t>
    </rPh>
    <phoneticPr fontId="1"/>
  </si>
  <si>
    <t>翌年2</t>
    <rPh sb="0" eb="2">
      <t>ヨクネン</t>
    </rPh>
    <phoneticPr fontId="1"/>
  </si>
  <si>
    <t>翌年3</t>
    <rPh sb="0" eb="2">
      <t>ヨクネン</t>
    </rPh>
    <phoneticPr fontId="1"/>
  </si>
  <si>
    <t>第1期</t>
    <rPh sb="0" eb="1">
      <t>ダイ</t>
    </rPh>
    <rPh sb="2" eb="3">
      <t>キ</t>
    </rPh>
    <phoneticPr fontId="1"/>
  </si>
  <si>
    <t>第2期</t>
    <rPh sb="0" eb="1">
      <t>ダイ</t>
    </rPh>
    <rPh sb="2" eb="3">
      <t>キ</t>
    </rPh>
    <phoneticPr fontId="1"/>
  </si>
  <si>
    <t>第3期</t>
    <rPh sb="0" eb="1">
      <t>ダイ</t>
    </rPh>
    <rPh sb="2" eb="3">
      <t>キ</t>
    </rPh>
    <phoneticPr fontId="1"/>
  </si>
  <si>
    <t>第4期</t>
    <rPh sb="0" eb="1">
      <t>ダイ</t>
    </rPh>
    <rPh sb="2" eb="3">
      <t>キ</t>
    </rPh>
    <phoneticPr fontId="1"/>
  </si>
  <si>
    <t>第5期</t>
    <rPh sb="0" eb="1">
      <t>ダイ</t>
    </rPh>
    <rPh sb="2" eb="3">
      <t>キ</t>
    </rPh>
    <phoneticPr fontId="1"/>
  </si>
  <si>
    <t>第6期</t>
    <rPh sb="0" eb="1">
      <t>ダイ</t>
    </rPh>
    <rPh sb="2" eb="3">
      <t>キ</t>
    </rPh>
    <phoneticPr fontId="1"/>
  </si>
  <si>
    <t>第7期</t>
    <rPh sb="0" eb="1">
      <t>ダイ</t>
    </rPh>
    <rPh sb="2" eb="3">
      <t>キ</t>
    </rPh>
    <phoneticPr fontId="1"/>
  </si>
  <si>
    <t>第8期</t>
    <rPh sb="0" eb="1">
      <t>ダイ</t>
    </rPh>
    <rPh sb="2" eb="3">
      <t>キ</t>
    </rPh>
    <phoneticPr fontId="1"/>
  </si>
  <si>
    <t>年税額</t>
    <rPh sb="0" eb="3">
      <t>ネンゼイガク</t>
    </rPh>
    <phoneticPr fontId="1"/>
  </si>
  <si>
    <t>所得割+均等割
（12か月分）</t>
    <rPh sb="0" eb="2">
      <t>ショトク</t>
    </rPh>
    <rPh sb="2" eb="3">
      <t>ワリ</t>
    </rPh>
    <rPh sb="4" eb="6">
      <t>キントウ</t>
    </rPh>
    <rPh sb="6" eb="7">
      <t>ワリ</t>
    </rPh>
    <rPh sb="12" eb="13">
      <t>ゲツ</t>
    </rPh>
    <rPh sb="13" eb="14">
      <t>ブン</t>
    </rPh>
    <phoneticPr fontId="1"/>
  </si>
  <si>
    <t>所得割+均等割
（加入月分）</t>
    <rPh sb="0" eb="2">
      <t>ショトク</t>
    </rPh>
    <rPh sb="2" eb="3">
      <t>ワリ</t>
    </rPh>
    <rPh sb="4" eb="6">
      <t>キントウ</t>
    </rPh>
    <rPh sb="6" eb="7">
      <t>ワリ</t>
    </rPh>
    <rPh sb="9" eb="11">
      <t>カニュウ</t>
    </rPh>
    <rPh sb="11" eb="12">
      <t>ツキ</t>
    </rPh>
    <rPh sb="12" eb="13">
      <t>ブン</t>
    </rPh>
    <phoneticPr fontId="1"/>
  </si>
  <si>
    <t>所得割額
（12か月分）</t>
    <rPh sb="0" eb="2">
      <t>ショトク</t>
    </rPh>
    <rPh sb="2" eb="3">
      <t>ワリ</t>
    </rPh>
    <rPh sb="3" eb="4">
      <t>ガク</t>
    </rPh>
    <rPh sb="9" eb="10">
      <t>ゲツ</t>
    </rPh>
    <rPh sb="10" eb="11">
      <t>ブン</t>
    </rPh>
    <phoneticPr fontId="1"/>
  </si>
  <si>
    <t>均等割額
（12か月分）</t>
    <rPh sb="0" eb="2">
      <t>キントウ</t>
    </rPh>
    <rPh sb="2" eb="3">
      <t>ワリ</t>
    </rPh>
    <rPh sb="3" eb="4">
      <t>ガク</t>
    </rPh>
    <rPh sb="9" eb="10">
      <t>ゲツ</t>
    </rPh>
    <rPh sb="10" eb="11">
      <t>ブン</t>
    </rPh>
    <phoneticPr fontId="1"/>
  </si>
  <si>
    <t>発行日：</t>
    <rPh sb="0" eb="2">
      <t>ハッコウ</t>
    </rPh>
    <rPh sb="2" eb="3">
      <t>ビ</t>
    </rPh>
    <phoneticPr fontId="1"/>
  </si>
  <si>
    <t>給与所得（※）</t>
    <rPh sb="0" eb="2">
      <t>キュウヨ</t>
    </rPh>
    <rPh sb="2" eb="4">
      <t>ショトク</t>
    </rPh>
    <phoneticPr fontId="1"/>
  </si>
  <si>
    <t>年金所得（※）（「年金所得計算」シートから参照）</t>
    <rPh sb="0" eb="2">
      <t>ネンキン</t>
    </rPh>
    <rPh sb="2" eb="4">
      <t>ショトク</t>
    </rPh>
    <rPh sb="9" eb="11">
      <t>ネンキン</t>
    </rPh>
    <rPh sb="11" eb="13">
      <t>ショトク</t>
    </rPh>
    <rPh sb="13" eb="15">
      <t>ケイサン</t>
    </rPh>
    <rPh sb="21" eb="23">
      <t>サンショウ</t>
    </rPh>
    <phoneticPr fontId="1"/>
  </si>
  <si>
    <t>円</t>
    <rPh sb="0" eb="1">
      <t>エン</t>
    </rPh>
    <phoneticPr fontId="1"/>
  </si>
  <si>
    <t>※　最大で、</t>
    <rPh sb="2" eb="4">
      <t>サイダイ</t>
    </rPh>
    <phoneticPr fontId="1"/>
  </si>
  <si>
    <t>＜所得金額調整控除計算用＞</t>
    <rPh sb="1" eb="3">
      <t>ショトク</t>
    </rPh>
    <rPh sb="3" eb="5">
      <t>キンガク</t>
    </rPh>
    <rPh sb="5" eb="7">
      <t>チョウセイ</t>
    </rPh>
    <rPh sb="7" eb="9">
      <t>コウジョ</t>
    </rPh>
    <rPh sb="9" eb="12">
      <t>ケイサンヨウ</t>
    </rPh>
    <phoneticPr fontId="1"/>
  </si>
  <si>
    <t>軽減判定基準額</t>
    <rPh sb="0" eb="2">
      <t>ケイゲン</t>
    </rPh>
    <rPh sb="2" eb="4">
      <t>ハンテイ</t>
    </rPh>
    <rPh sb="4" eb="6">
      <t>キジュン</t>
    </rPh>
    <rPh sb="6" eb="7">
      <t>ガク</t>
    </rPh>
    <phoneticPr fontId="1"/>
  </si>
  <si>
    <t>軽減率</t>
    <rPh sb="0" eb="2">
      <t>ケイゲン</t>
    </rPh>
    <rPh sb="2" eb="3">
      <t>リツ</t>
    </rPh>
    <phoneticPr fontId="1"/>
  </si>
  <si>
    <t>※国保加入手続きの時期</t>
    <rPh sb="1" eb="3">
      <t>コクホ</t>
    </rPh>
    <rPh sb="3" eb="5">
      <t>カニュウ</t>
    </rPh>
    <rPh sb="5" eb="7">
      <t>テツヅ</t>
    </rPh>
    <rPh sb="9" eb="11">
      <t>ジキ</t>
    </rPh>
    <phoneticPr fontId="1"/>
  </si>
  <si>
    <t>所得金額調整控除額</t>
    <rPh sb="0" eb="2">
      <t>ショトク</t>
    </rPh>
    <rPh sb="2" eb="4">
      <t>キンガク</t>
    </rPh>
    <rPh sb="4" eb="6">
      <t>チョウセイ</t>
    </rPh>
    <rPh sb="6" eb="8">
      <t>コウジョ</t>
    </rPh>
    <rPh sb="8" eb="9">
      <t>ガク</t>
    </rPh>
    <phoneticPr fontId="1"/>
  </si>
  <si>
    <t>軽減判定所得額</t>
    <rPh sb="0" eb="2">
      <t>ケイゲン</t>
    </rPh>
    <rPh sb="2" eb="4">
      <t>ハンテイ</t>
    </rPh>
    <rPh sb="4" eb="6">
      <t>ショトク</t>
    </rPh>
    <rPh sb="6" eb="7">
      <t>ガク</t>
    </rPh>
    <phoneticPr fontId="1"/>
  </si>
  <si>
    <t>年金所得
（軽減判定用）</t>
    <rPh sb="0" eb="2">
      <t>ネンキン</t>
    </rPh>
    <rPh sb="2" eb="4">
      <t>ショトク</t>
    </rPh>
    <rPh sb="6" eb="8">
      <t>ケイゲン</t>
    </rPh>
    <rPh sb="8" eb="10">
      <t>ハンテイ</t>
    </rPh>
    <rPh sb="10" eb="11">
      <t>ヨウ</t>
    </rPh>
    <phoneticPr fontId="1"/>
  </si>
  <si>
    <t>65歳以上の追加控除額</t>
    <rPh sb="2" eb="3">
      <t>サイ</t>
    </rPh>
    <rPh sb="3" eb="5">
      <t>イジョウ</t>
    </rPh>
    <rPh sb="6" eb="8">
      <t>ツイカ</t>
    </rPh>
    <rPh sb="8" eb="10">
      <t>コウジョ</t>
    </rPh>
    <rPh sb="10" eb="11">
      <t>ガク</t>
    </rPh>
    <phoneticPr fontId="1"/>
  </si>
  <si>
    <t>65歳到達者の誕生年の1/1</t>
    <rPh sb="2" eb="3">
      <t>サイ</t>
    </rPh>
    <rPh sb="3" eb="5">
      <t>トウタツ</t>
    </rPh>
    <rPh sb="5" eb="6">
      <t>シャ</t>
    </rPh>
    <rPh sb="7" eb="9">
      <t>タンジョウ</t>
    </rPh>
    <rPh sb="9" eb="10">
      <t>ネン</t>
    </rPh>
    <phoneticPr fontId="1"/>
  </si>
  <si>
    <t>所得金額調整控除（軽減判定用）用</t>
    <rPh sb="0" eb="2">
      <t>ショトク</t>
    </rPh>
    <rPh sb="2" eb="4">
      <t>キンガク</t>
    </rPh>
    <rPh sb="4" eb="6">
      <t>チョウセイ</t>
    </rPh>
    <rPh sb="6" eb="8">
      <t>コウジョ</t>
    </rPh>
    <rPh sb="9" eb="11">
      <t>ケイゲン</t>
    </rPh>
    <rPh sb="11" eb="13">
      <t>ハンテイ</t>
    </rPh>
    <rPh sb="13" eb="14">
      <t>ヨウ</t>
    </rPh>
    <rPh sb="15" eb="16">
      <t>ヨウ</t>
    </rPh>
    <phoneticPr fontId="1"/>
  </si>
  <si>
    <t>年金所得（※）</t>
    <rPh sb="0" eb="2">
      <t>ネンキン</t>
    </rPh>
    <rPh sb="2" eb="4">
      <t>ショトク</t>
    </rPh>
    <phoneticPr fontId="1"/>
  </si>
  <si>
    <t>＋</t>
    <phoneticPr fontId="1"/>
  </si>
  <si>
    <t>×</t>
    <phoneticPr fontId="1"/>
  </si>
  <si>
    <t>Ａ</t>
    <phoneticPr fontId="1"/>
  </si>
  <si>
    <t>×（</t>
    <phoneticPr fontId="1"/>
  </si>
  <si>
    <t>Ｂ</t>
    <phoneticPr fontId="1"/>
  </si>
  <si>
    <t>－</t>
    <phoneticPr fontId="1"/>
  </si>
  <si>
    <t>）</t>
    <phoneticPr fontId="1"/>
  </si>
  <si>
    <t>　　　計算式</t>
    <rPh sb="3" eb="6">
      <t>ケイサンシキ</t>
    </rPh>
    <phoneticPr fontId="1"/>
  </si>
  <si>
    <t>被保険
者該当</t>
    <rPh sb="5" eb="7">
      <t>ガイトウ</t>
    </rPh>
    <phoneticPr fontId="1"/>
  </si>
  <si>
    <t>Ａ</t>
    <phoneticPr fontId="1"/>
  </si>
  <si>
    <t>給与所得
者等該当</t>
    <rPh sb="0" eb="2">
      <t>キュウヨ</t>
    </rPh>
    <rPh sb="2" eb="4">
      <t>ショトク</t>
    </rPh>
    <rPh sb="5" eb="6">
      <t>シャ</t>
    </rPh>
    <rPh sb="6" eb="7">
      <t>トウ</t>
    </rPh>
    <rPh sb="7" eb="9">
      <t>ガイトウ</t>
    </rPh>
    <phoneticPr fontId="1"/>
  </si>
  <si>
    <t>Ｂ</t>
    <phoneticPr fontId="1"/>
  </si>
  <si>
    <t>給与収入基準額</t>
    <rPh sb="0" eb="2">
      <t>キュウヨ</t>
    </rPh>
    <rPh sb="2" eb="4">
      <t>シュウニュウ</t>
    </rPh>
    <rPh sb="4" eb="6">
      <t>キジュン</t>
    </rPh>
    <rPh sb="6" eb="7">
      <t>ガク</t>
    </rPh>
    <phoneticPr fontId="1"/>
  </si>
  <si>
    <t>年金収入基準額（65歳未満）</t>
    <rPh sb="0" eb="2">
      <t>ネンキン</t>
    </rPh>
    <rPh sb="2" eb="4">
      <t>シュウニュウ</t>
    </rPh>
    <rPh sb="4" eb="6">
      <t>キジュン</t>
    </rPh>
    <rPh sb="6" eb="7">
      <t>ガク</t>
    </rPh>
    <rPh sb="10" eb="11">
      <t>サイ</t>
    </rPh>
    <rPh sb="11" eb="13">
      <t>ミマン</t>
    </rPh>
    <phoneticPr fontId="1"/>
  </si>
  <si>
    <t>年金収入基準額（65歳以上）</t>
    <rPh sb="0" eb="2">
      <t>ネンキン</t>
    </rPh>
    <rPh sb="2" eb="4">
      <t>シュウニュウ</t>
    </rPh>
    <rPh sb="4" eb="6">
      <t>キジュン</t>
    </rPh>
    <rPh sb="6" eb="7">
      <t>ガク</t>
    </rPh>
    <rPh sb="10" eb="11">
      <t>サイ</t>
    </rPh>
    <rPh sb="11" eb="13">
      <t>イジョウ</t>
    </rPh>
    <phoneticPr fontId="1"/>
  </si>
  <si>
    <t>＜軽減判定所得計算＞</t>
    <rPh sb="1" eb="3">
      <t>ケイゲン</t>
    </rPh>
    <rPh sb="3" eb="5">
      <t>ハンテイ</t>
    </rPh>
    <rPh sb="5" eb="7">
      <t>ショトク</t>
    </rPh>
    <rPh sb="7" eb="9">
      <t>ケイサン</t>
    </rPh>
    <phoneticPr fontId="1"/>
  </si>
  <si>
    <t>判定</t>
    <rPh sb="0" eb="2">
      <t>ハンテイ</t>
    </rPh>
    <phoneticPr fontId="1"/>
  </si>
  <si>
    <t>軽減判定</t>
    <rPh sb="0" eb="2">
      <t>ケイゲン</t>
    </rPh>
    <rPh sb="2" eb="4">
      <t>ハンテイ</t>
    </rPh>
    <phoneticPr fontId="1"/>
  </si>
  <si>
    <t>軽減なし</t>
    <rPh sb="0" eb="2">
      <t>ケイゲン</t>
    </rPh>
    <phoneticPr fontId="1"/>
  </si>
  <si>
    <t>＜軽減判定基準額計算・判定＞</t>
    <rPh sb="1" eb="3">
      <t>ケイゲン</t>
    </rPh>
    <rPh sb="3" eb="5">
      <t>ハンテイ</t>
    </rPh>
    <rPh sb="5" eb="7">
      <t>キジュン</t>
    </rPh>
    <rPh sb="7" eb="8">
      <t>ガク</t>
    </rPh>
    <rPh sb="8" eb="10">
      <t>ケイサン</t>
    </rPh>
    <rPh sb="11" eb="13">
      <t>ハンテイ</t>
    </rPh>
    <phoneticPr fontId="1"/>
  </si>
  <si>
    <t>※　入力用シートから参照</t>
    <rPh sb="2" eb="4">
      <t>ニュウリョク</t>
    </rPh>
    <phoneticPr fontId="1"/>
  </si>
  <si>
    <t xml:space="preserve"> ← このような色の付いた部分を入力してください。</t>
    <rPh sb="8" eb="9">
      <t>イロ</t>
    </rPh>
    <rPh sb="10" eb="11">
      <t>ツ</t>
    </rPh>
    <rPh sb="13" eb="15">
      <t>ブブン</t>
    </rPh>
    <rPh sb="16" eb="18">
      <t>ニュウリョク</t>
    </rPh>
    <phoneticPr fontId="1"/>
  </si>
  <si>
    <t>随1期/過1期</t>
    <rPh sb="0" eb="1">
      <t>ズイ</t>
    </rPh>
    <rPh sb="2" eb="3">
      <t>キ</t>
    </rPh>
    <rPh sb="4" eb="5">
      <t>カ</t>
    </rPh>
    <rPh sb="6" eb="7">
      <t>キ</t>
    </rPh>
    <phoneticPr fontId="1"/>
  </si>
  <si>
    <t>軽減なし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</si>
</sst>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_ "/>
    <numFmt numFmtId="178" formatCode="#,##0.00_ "/>
    <numFmt numFmtId="179" formatCode="0.0%"/>
    <numFmt numFmtId="180" formatCode="0.000_ "/>
    <numFmt numFmtId="181" formatCode="0_ "/>
    <numFmt numFmtId="182" formatCode="0.0_ "/>
  </numFmts>
  <fonts count="35">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ＭＳ Ｐゴシック"/>
      <family val="3"/>
      <charset val="128"/>
    </font>
    <font>
      <sz val="11"/>
      <color rgb="FF0000CC"/>
      <name val="ＭＳ Ｐゴシック"/>
      <family val="3"/>
      <charset val="128"/>
    </font>
    <font>
      <sz val="11"/>
      <color rgb="FF0000CC"/>
      <name val="ＭＳ Ｐゴシック"/>
      <family val="2"/>
      <charset val="128"/>
    </font>
    <font>
      <b/>
      <sz val="11"/>
      <color theme="1"/>
      <name val="ＭＳ Ｐゴシック"/>
      <family val="3"/>
      <charset val="128"/>
    </font>
    <font>
      <sz val="10"/>
      <color theme="1"/>
      <name val="ＭＳ Ｐゴシック"/>
      <family val="3"/>
      <charset val="128"/>
    </font>
    <font>
      <sz val="9"/>
      <color indexed="81"/>
      <name val="MS P ゴシック"/>
      <family val="3"/>
      <charset val="128"/>
    </font>
    <font>
      <b/>
      <sz val="14"/>
      <color theme="1"/>
      <name val="ＭＳ Ｐゴシック"/>
      <family val="3"/>
      <charset val="128"/>
    </font>
    <font>
      <b/>
      <sz val="11"/>
      <color rgb="FFFF0000"/>
      <name val="ＭＳ Ｐゴシック"/>
      <family val="3"/>
      <charset val="128"/>
    </font>
    <font>
      <b/>
      <sz val="11"/>
      <color rgb="FF0000CC"/>
      <name val="ＭＳ Ｐゴシック"/>
      <family val="3"/>
      <charset val="128"/>
    </font>
    <font>
      <b/>
      <sz val="12"/>
      <color theme="1"/>
      <name val="ＭＳ Ｐゴシック"/>
      <family val="3"/>
      <charset val="128"/>
    </font>
    <font>
      <sz val="11"/>
      <color theme="1"/>
      <name val="ＭＳ ゴシック"/>
      <family val="3"/>
      <charset val="128"/>
    </font>
    <font>
      <sz val="11"/>
      <color rgb="FF0000CC"/>
      <name val="ＭＳ ゴシック"/>
      <family val="3"/>
      <charset val="128"/>
    </font>
    <font>
      <sz val="12"/>
      <color theme="1"/>
      <name val="ＭＳ ゴシック"/>
      <family val="3"/>
      <charset val="128"/>
    </font>
    <font>
      <sz val="16"/>
      <color theme="1"/>
      <name val="ＭＳ ゴシック"/>
      <family val="3"/>
      <charset val="128"/>
    </font>
    <font>
      <b/>
      <sz val="12"/>
      <color rgb="FFFF0000"/>
      <name val="ＭＳ ゴシック"/>
      <family val="3"/>
      <charset val="128"/>
    </font>
    <font>
      <sz val="11"/>
      <color theme="2" tint="-0.249977111117893"/>
      <name val="ＭＳ ゴシック"/>
      <family val="3"/>
      <charset val="128"/>
    </font>
    <font>
      <b/>
      <u/>
      <sz val="11"/>
      <color rgb="FFFF0000"/>
      <name val="ＭＳ ゴシック"/>
      <family val="3"/>
      <charset val="128"/>
    </font>
    <font>
      <sz val="10"/>
      <color theme="1"/>
      <name val="ＭＳ 明朝"/>
      <family val="1"/>
      <charset val="128"/>
    </font>
    <font>
      <sz val="10"/>
      <color rgb="FF0000CC"/>
      <name val="ＭＳ 明朝"/>
      <family val="1"/>
      <charset val="128"/>
    </font>
    <font>
      <b/>
      <sz val="10"/>
      <color theme="1"/>
      <name val="ＭＳ 明朝"/>
      <family val="1"/>
      <charset val="128"/>
    </font>
    <font>
      <sz val="11"/>
      <color theme="1"/>
      <name val="ＭＳ 明朝"/>
      <family val="1"/>
      <charset val="128"/>
    </font>
    <font>
      <sz val="9"/>
      <color theme="1"/>
      <name val="ＭＳ Ｐゴシック"/>
      <family val="2"/>
      <charset val="128"/>
    </font>
    <font>
      <sz val="10"/>
      <color rgb="FF0000CC"/>
      <name val="ＭＳ Ｐゴシック"/>
      <family val="3"/>
      <charset val="128"/>
    </font>
    <font>
      <b/>
      <sz val="10"/>
      <color theme="1"/>
      <name val="ＭＳ Ｐゴシック"/>
      <family val="3"/>
      <charset val="128"/>
    </font>
    <font>
      <sz val="10"/>
      <name val="ＭＳ Ｐゴシック"/>
      <family val="3"/>
      <charset val="128"/>
    </font>
    <font>
      <b/>
      <sz val="16"/>
      <color theme="1"/>
      <name val="ＭＳ Ｐゴシック"/>
      <family val="3"/>
      <charset val="128"/>
    </font>
    <font>
      <sz val="11"/>
      <name val="ＭＳ Ｐゴシック"/>
      <family val="2"/>
      <charset val="128"/>
    </font>
    <font>
      <sz val="10"/>
      <color theme="1"/>
      <name val="ＭＳ Ｐゴシック"/>
      <family val="2"/>
      <charset val="128"/>
    </font>
    <font>
      <sz val="10"/>
      <name val="ＭＳ 明朝"/>
      <family val="1"/>
      <charset val="128"/>
    </font>
    <font>
      <sz val="11"/>
      <name val="ＭＳ 明朝"/>
      <family val="1"/>
      <charset val="128"/>
    </font>
    <font>
      <b/>
      <sz val="9"/>
      <color theme="1"/>
      <name val="ＭＳ ゴシック"/>
      <family val="3"/>
      <charset val="128"/>
    </font>
    <font>
      <sz val="6"/>
      <color theme="1"/>
      <name val="ＭＳ ゴシック"/>
      <family val="3"/>
      <charset val="128"/>
    </font>
  </fonts>
  <fills count="10">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5" tint="0.79998168889431442"/>
        <bgColor indexed="64"/>
      </patternFill>
    </fill>
  </fills>
  <borders count="82">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style="thin">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top style="medium">
        <color auto="1"/>
      </top>
      <bottom style="thin">
        <color auto="1"/>
      </bottom>
      <diagonal/>
    </border>
    <border diagonalDown="1">
      <left style="medium">
        <color auto="1"/>
      </left>
      <right/>
      <top style="thin">
        <color auto="1"/>
      </top>
      <bottom style="thin">
        <color auto="1"/>
      </bottom>
      <diagonal style="thin">
        <color auto="1"/>
      </diagonal>
    </border>
    <border diagonalDown="1">
      <left style="medium">
        <color auto="1"/>
      </left>
      <right/>
      <top style="thin">
        <color auto="1"/>
      </top>
      <bottom/>
      <diagonal style="thin">
        <color auto="1"/>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left style="thick">
        <color rgb="FFFF0000"/>
      </left>
      <right/>
      <top/>
      <bottom/>
      <diagonal/>
    </border>
    <border>
      <left style="thick">
        <color rgb="FFFF0000"/>
      </left>
      <right style="thin">
        <color auto="1"/>
      </right>
      <top style="thin">
        <color auto="1"/>
      </top>
      <bottom style="thin">
        <color auto="1"/>
      </bottom>
      <diagonal/>
    </border>
    <border diagonalDown="1">
      <left style="thick">
        <color rgb="FFFF0000"/>
      </left>
      <right style="thin">
        <color auto="1"/>
      </right>
      <top style="thin">
        <color auto="1"/>
      </top>
      <bottom style="thin">
        <color auto="1"/>
      </bottom>
      <diagonal style="thin">
        <color theme="1"/>
      </diagonal>
    </border>
    <border>
      <left/>
      <right/>
      <top/>
      <bottom style="thin">
        <color auto="1"/>
      </bottom>
      <diagonal/>
    </border>
    <border>
      <left/>
      <right style="thin">
        <color auto="1"/>
      </right>
      <top/>
      <bottom style="thin">
        <color auto="1"/>
      </bottom>
      <diagonal/>
    </border>
    <border>
      <left style="mediumDashDot">
        <color auto="1"/>
      </left>
      <right style="thin">
        <color auto="1"/>
      </right>
      <top style="mediumDashDot">
        <color auto="1"/>
      </top>
      <bottom style="thin">
        <color auto="1"/>
      </bottom>
      <diagonal/>
    </border>
    <border>
      <left style="thin">
        <color auto="1"/>
      </left>
      <right style="mediumDashDot">
        <color auto="1"/>
      </right>
      <top style="mediumDashDot">
        <color auto="1"/>
      </top>
      <bottom style="thin">
        <color auto="1"/>
      </bottom>
      <diagonal/>
    </border>
    <border>
      <left style="mediumDashDot">
        <color auto="1"/>
      </left>
      <right style="thin">
        <color auto="1"/>
      </right>
      <top style="thin">
        <color auto="1"/>
      </top>
      <bottom style="thin">
        <color auto="1"/>
      </bottom>
      <diagonal/>
    </border>
    <border>
      <left style="thin">
        <color auto="1"/>
      </left>
      <right style="mediumDashDot">
        <color auto="1"/>
      </right>
      <top style="thin">
        <color auto="1"/>
      </top>
      <bottom style="thin">
        <color auto="1"/>
      </bottom>
      <diagonal/>
    </border>
    <border>
      <left style="mediumDashDot">
        <color auto="1"/>
      </left>
      <right style="thin">
        <color auto="1"/>
      </right>
      <top style="thin">
        <color auto="1"/>
      </top>
      <bottom style="mediumDashDot">
        <color auto="1"/>
      </bottom>
      <diagonal/>
    </border>
    <border>
      <left style="thin">
        <color auto="1"/>
      </left>
      <right style="mediumDashDot">
        <color auto="1"/>
      </right>
      <top style="thin">
        <color auto="1"/>
      </top>
      <bottom style="mediumDashDot">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bottom/>
      <diagonal/>
    </border>
    <border>
      <left/>
      <right style="hair">
        <color auto="1"/>
      </right>
      <top style="thin">
        <color auto="1"/>
      </top>
      <bottom style="thin">
        <color auto="1"/>
      </bottom>
      <diagonal/>
    </border>
    <border>
      <left style="hair">
        <color auto="1"/>
      </left>
      <right/>
      <top style="thin">
        <color auto="1"/>
      </top>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top style="medium">
        <color auto="1"/>
      </top>
      <bottom style="thin">
        <color auto="1"/>
      </bottom>
      <diagonal/>
    </border>
    <border>
      <left style="hair">
        <color auto="1"/>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s>
  <cellStyleXfs count="2">
    <xf numFmtId="0" fontId="0" fillId="0" borderId="0">
      <alignment vertical="center"/>
    </xf>
    <xf numFmtId="0" fontId="2" fillId="0" borderId="0">
      <alignment vertical="center"/>
    </xf>
  </cellStyleXfs>
  <cellXfs count="383">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Fill="1" applyAlignment="1">
      <alignment horizontal="left" vertical="center"/>
    </xf>
    <xf numFmtId="177" fontId="3" fillId="0" borderId="4" xfId="1" applyNumberFormat="1" applyFont="1" applyFill="1" applyBorder="1" applyAlignment="1">
      <alignment horizontal="center" vertical="center"/>
    </xf>
    <xf numFmtId="176" fontId="3" fillId="2" borderId="4" xfId="1" applyNumberFormat="1" applyFont="1" applyFill="1" applyBorder="1" applyAlignment="1">
      <alignment horizontal="right" vertical="center"/>
    </xf>
    <xf numFmtId="176" fontId="3" fillId="0" borderId="4" xfId="1" applyNumberFormat="1" applyFont="1" applyFill="1" applyBorder="1" applyAlignment="1">
      <alignment horizontal="left" vertical="center"/>
    </xf>
    <xf numFmtId="177" fontId="3" fillId="2" borderId="4" xfId="1" applyNumberFormat="1" applyFont="1" applyFill="1" applyBorder="1">
      <alignment vertical="center"/>
    </xf>
    <xf numFmtId="177" fontId="3" fillId="2" borderId="4" xfId="1" applyNumberFormat="1" applyFont="1" applyFill="1" applyBorder="1" applyAlignment="1">
      <alignment horizontal="right" vertical="center"/>
    </xf>
    <xf numFmtId="176" fontId="3" fillId="2" borderId="5" xfId="1" applyNumberFormat="1" applyFont="1" applyFill="1" applyBorder="1">
      <alignment vertical="center"/>
    </xf>
    <xf numFmtId="176" fontId="4" fillId="0" borderId="6" xfId="1" applyNumberFormat="1" applyFont="1" applyFill="1" applyBorder="1">
      <alignment vertical="center"/>
    </xf>
    <xf numFmtId="176" fontId="3" fillId="2" borderId="6" xfId="1" applyNumberFormat="1" applyFont="1" applyFill="1" applyBorder="1">
      <alignment vertical="center"/>
    </xf>
    <xf numFmtId="176" fontId="3" fillId="0" borderId="5" xfId="1" applyNumberFormat="1" applyFont="1" applyFill="1" applyBorder="1" applyAlignment="1">
      <alignment horizontal="right" vertical="center"/>
    </xf>
    <xf numFmtId="176" fontId="3" fillId="5" borderId="4" xfId="1" applyNumberFormat="1" applyFont="1" applyFill="1" applyBorder="1" applyAlignment="1">
      <alignment horizontal="center" vertical="center"/>
    </xf>
    <xf numFmtId="176" fontId="4" fillId="5" borderId="6" xfId="1" applyNumberFormat="1" applyFont="1" applyFill="1" applyBorder="1">
      <alignment vertical="center"/>
    </xf>
    <xf numFmtId="176" fontId="4" fillId="5" borderId="5" xfId="1" applyNumberFormat="1" applyFont="1" applyFill="1" applyBorder="1" applyAlignment="1">
      <alignment horizontal="right" vertical="center"/>
    </xf>
    <xf numFmtId="176" fontId="4" fillId="5" borderId="4" xfId="1" applyNumberFormat="1" applyFont="1" applyFill="1" applyBorder="1" applyAlignment="1">
      <alignment horizontal="right" vertical="center"/>
    </xf>
    <xf numFmtId="177" fontId="3" fillId="5" borderId="4" xfId="1" applyNumberFormat="1" applyFont="1" applyFill="1" applyBorder="1" applyAlignment="1">
      <alignment horizontal="center" vertical="center"/>
    </xf>
    <xf numFmtId="177" fontId="3" fillId="5" borderId="4" xfId="1" applyNumberFormat="1" applyFont="1" applyFill="1" applyBorder="1">
      <alignment vertical="center"/>
    </xf>
    <xf numFmtId="178" fontId="3" fillId="2" borderId="4" xfId="1" applyNumberFormat="1" applyFont="1" applyFill="1" applyBorder="1" applyAlignment="1">
      <alignment horizontal="right" vertical="center"/>
    </xf>
    <xf numFmtId="176" fontId="3" fillId="2" borderId="4" xfId="1" applyNumberFormat="1" applyFont="1" applyFill="1" applyBorder="1">
      <alignment vertical="center"/>
    </xf>
    <xf numFmtId="176" fontId="4" fillId="0" borderId="9" xfId="1" applyNumberFormat="1" applyFont="1" applyBorder="1">
      <alignment vertical="center"/>
    </xf>
    <xf numFmtId="176" fontId="4" fillId="0" borderId="9" xfId="1" applyNumberFormat="1" applyFont="1" applyFill="1" applyBorder="1">
      <alignment vertical="center"/>
    </xf>
    <xf numFmtId="176" fontId="4" fillId="0" borderId="11" xfId="1" applyNumberFormat="1" applyFont="1" applyBorder="1">
      <alignment vertical="center"/>
    </xf>
    <xf numFmtId="176" fontId="3" fillId="0" borderId="4" xfId="1" applyNumberFormat="1" applyFont="1" applyFill="1" applyBorder="1" applyAlignment="1">
      <alignment horizontal="center" vertical="center"/>
    </xf>
    <xf numFmtId="176" fontId="4" fillId="0" borderId="5"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4" xfId="1" applyNumberFormat="1" applyFont="1" applyFill="1" applyBorder="1" applyAlignment="1">
      <alignment horizontal="left" vertical="center"/>
    </xf>
    <xf numFmtId="176" fontId="3" fillId="0" borderId="4" xfId="1" applyNumberFormat="1" applyFont="1" applyFill="1" applyBorder="1">
      <alignment vertical="center"/>
    </xf>
    <xf numFmtId="177" fontId="3" fillId="0" borderId="4" xfId="1" applyNumberFormat="1" applyFont="1" applyFill="1" applyBorder="1">
      <alignment vertical="center"/>
    </xf>
    <xf numFmtId="176" fontId="4" fillId="0" borderId="11" xfId="1" applyNumberFormat="1" applyFont="1" applyFill="1" applyBorder="1">
      <alignment vertical="center"/>
    </xf>
    <xf numFmtId="176" fontId="4" fillId="0" borderId="19" xfId="1" applyNumberFormat="1" applyFont="1" applyFill="1" applyBorder="1">
      <alignment vertical="center"/>
    </xf>
    <xf numFmtId="176" fontId="4" fillId="3" borderId="19" xfId="1" applyNumberFormat="1" applyFont="1" applyFill="1" applyBorder="1">
      <alignment vertical="center"/>
    </xf>
    <xf numFmtId="0" fontId="6" fillId="4" borderId="11" xfId="1" applyFont="1" applyFill="1" applyBorder="1" applyAlignment="1">
      <alignment horizontal="center" vertical="center"/>
    </xf>
    <xf numFmtId="0" fontId="3" fillId="0" borderId="0" xfId="1" applyFont="1" applyFill="1" applyBorder="1" applyAlignment="1">
      <alignment vertical="center"/>
    </xf>
    <xf numFmtId="0" fontId="6" fillId="4" borderId="10" xfId="1" applyFont="1" applyFill="1" applyBorder="1" applyAlignment="1">
      <alignment horizontal="center" vertical="center"/>
    </xf>
    <xf numFmtId="176" fontId="4" fillId="0" borderId="5" xfId="1" applyNumberFormat="1" applyFont="1" applyFill="1" applyBorder="1">
      <alignment vertical="center"/>
    </xf>
    <xf numFmtId="14" fontId="4" fillId="0" borderId="19" xfId="1" applyNumberFormat="1" applyFont="1" applyFill="1" applyBorder="1" applyAlignment="1">
      <alignment horizontal="center" vertical="center"/>
    </xf>
    <xf numFmtId="176" fontId="4" fillId="3" borderId="17" xfId="1" applyNumberFormat="1" applyFont="1" applyFill="1" applyBorder="1">
      <alignment vertical="center"/>
    </xf>
    <xf numFmtId="176" fontId="4" fillId="3" borderId="20" xfId="1" applyNumberFormat="1" applyFont="1" applyFill="1" applyBorder="1">
      <alignment vertical="center"/>
    </xf>
    <xf numFmtId="176" fontId="4" fillId="3" borderId="7" xfId="1" applyNumberFormat="1" applyFont="1" applyFill="1" applyBorder="1">
      <alignment vertical="center"/>
    </xf>
    <xf numFmtId="176" fontId="4" fillId="3" borderId="8" xfId="1" applyNumberFormat="1" applyFont="1" applyFill="1" applyBorder="1">
      <alignment vertical="center"/>
    </xf>
    <xf numFmtId="176" fontId="3" fillId="2" borderId="6" xfId="1" applyNumberFormat="1" applyFont="1" applyFill="1" applyBorder="1" applyAlignment="1">
      <alignment horizontal="right" vertical="center"/>
    </xf>
    <xf numFmtId="0" fontId="3" fillId="4" borderId="23" xfId="1" applyFont="1" applyFill="1" applyBorder="1" applyAlignment="1">
      <alignment horizontal="center" vertical="center"/>
    </xf>
    <xf numFmtId="0" fontId="3" fillId="4" borderId="17" xfId="1" applyFont="1" applyFill="1" applyBorder="1" applyAlignment="1">
      <alignment horizontal="center" vertical="center"/>
    </xf>
    <xf numFmtId="180" fontId="0" fillId="0" borderId="0" xfId="0" applyNumberFormat="1">
      <alignment vertical="center"/>
    </xf>
    <xf numFmtId="177" fontId="5" fillId="0" borderId="0" xfId="0" applyNumberFormat="1" applyFont="1">
      <alignment vertical="center"/>
    </xf>
    <xf numFmtId="0" fontId="3" fillId="0" borderId="0" xfId="1" applyFont="1" applyAlignment="1">
      <alignment horizontal="center" vertical="center"/>
    </xf>
    <xf numFmtId="0" fontId="3" fillId="4" borderId="9" xfId="1" applyFont="1" applyFill="1" applyBorder="1" applyAlignment="1">
      <alignment horizontal="center" vertical="center"/>
    </xf>
    <xf numFmtId="14" fontId="4" fillId="0" borderId="19" xfId="1" applyNumberFormat="1" applyFont="1" applyFill="1" applyBorder="1" applyAlignment="1">
      <alignment horizontal="center" vertical="center"/>
    </xf>
    <xf numFmtId="14" fontId="3" fillId="0" borderId="0" xfId="1" applyNumberFormat="1" applyFont="1" applyAlignment="1">
      <alignment vertical="center"/>
    </xf>
    <xf numFmtId="0" fontId="3" fillId="0" borderId="0" xfId="1" applyFont="1" applyAlignment="1">
      <alignment vertical="center"/>
    </xf>
    <xf numFmtId="176" fontId="5" fillId="0" borderId="9" xfId="0" applyNumberFormat="1" applyFont="1" applyBorder="1">
      <alignment vertical="center"/>
    </xf>
    <xf numFmtId="176" fontId="4" fillId="0" borderId="24" xfId="1" applyNumberFormat="1" applyFont="1" applyFill="1" applyBorder="1">
      <alignment vertical="center"/>
    </xf>
    <xf numFmtId="176" fontId="4" fillId="0" borderId="25" xfId="1" applyNumberFormat="1" applyFont="1" applyFill="1" applyBorder="1">
      <alignment vertical="center"/>
    </xf>
    <xf numFmtId="176" fontId="4" fillId="3" borderId="24" xfId="1" applyNumberFormat="1" applyFont="1" applyFill="1" applyBorder="1">
      <alignment vertical="center"/>
    </xf>
    <xf numFmtId="176" fontId="4" fillId="3" borderId="25" xfId="1" applyNumberFormat="1" applyFont="1" applyFill="1" applyBorder="1">
      <alignment vertical="center"/>
    </xf>
    <xf numFmtId="14" fontId="4" fillId="0" borderId="24" xfId="1" applyNumberFormat="1" applyFont="1" applyFill="1" applyBorder="1" applyAlignment="1">
      <alignment horizontal="center" vertical="center"/>
    </xf>
    <xf numFmtId="14" fontId="4" fillId="0" borderId="25" xfId="1" applyNumberFormat="1" applyFont="1" applyFill="1" applyBorder="1" applyAlignment="1">
      <alignment horizontal="center" vertical="center"/>
    </xf>
    <xf numFmtId="176" fontId="4" fillId="0" borderId="16" xfId="1" applyNumberFormat="1" applyFont="1" applyFill="1" applyBorder="1">
      <alignment vertical="center"/>
    </xf>
    <xf numFmtId="176" fontId="4" fillId="0" borderId="16" xfId="1" applyNumberFormat="1" applyFont="1" applyBorder="1">
      <alignment vertical="center"/>
    </xf>
    <xf numFmtId="14" fontId="5" fillId="0" borderId="9" xfId="0" applyNumberFormat="1" applyFont="1" applyBorder="1" applyAlignment="1">
      <alignment horizontal="center" vertical="center"/>
    </xf>
    <xf numFmtId="177" fontId="5" fillId="0" borderId="9" xfId="0" applyNumberFormat="1" applyFont="1" applyBorder="1">
      <alignment vertical="center"/>
    </xf>
    <xf numFmtId="181" fontId="5" fillId="0" borderId="9" xfId="0" applyNumberFormat="1" applyFont="1" applyBorder="1">
      <alignment vertical="center"/>
    </xf>
    <xf numFmtId="0" fontId="0" fillId="4" borderId="9" xfId="0" applyFill="1" applyBorder="1">
      <alignment vertical="center"/>
    </xf>
    <xf numFmtId="0" fontId="0" fillId="4" borderId="9" xfId="0" applyFill="1" applyBorder="1" applyAlignment="1">
      <alignment horizontal="center" vertical="center"/>
    </xf>
    <xf numFmtId="0" fontId="0" fillId="4" borderId="9" xfId="0" applyFill="1" applyBorder="1" applyAlignment="1">
      <alignment horizontal="center" vertical="center" wrapText="1"/>
    </xf>
    <xf numFmtId="0" fontId="0" fillId="4" borderId="5" xfId="0" applyFill="1" applyBorder="1" applyAlignment="1">
      <alignment horizontal="center" vertical="center" wrapText="1"/>
    </xf>
    <xf numFmtId="177" fontId="5" fillId="0" borderId="5" xfId="0" applyNumberFormat="1" applyFont="1" applyBorder="1">
      <alignment vertical="center"/>
    </xf>
    <xf numFmtId="0" fontId="0" fillId="4" borderId="29" xfId="0" applyFill="1" applyBorder="1" applyAlignment="1">
      <alignment horizontal="center" vertical="center" wrapText="1"/>
    </xf>
    <xf numFmtId="176" fontId="5" fillId="3" borderId="31" xfId="0" applyNumberFormat="1" applyFont="1" applyFill="1" applyBorder="1">
      <alignment vertical="center"/>
    </xf>
    <xf numFmtId="14" fontId="5" fillId="6" borderId="9" xfId="0" applyNumberFormat="1" applyFont="1" applyFill="1" applyBorder="1" applyAlignment="1">
      <alignment horizontal="center" vertical="center"/>
    </xf>
    <xf numFmtId="176" fontId="5" fillId="6" borderId="9" xfId="0" applyNumberFormat="1" applyFont="1" applyFill="1" applyBorder="1">
      <alignment vertical="center"/>
    </xf>
    <xf numFmtId="181" fontId="5" fillId="6" borderId="9" xfId="0" applyNumberFormat="1" applyFont="1" applyFill="1" applyBorder="1">
      <alignment vertical="center"/>
    </xf>
    <xf numFmtId="0" fontId="0" fillId="0" borderId="32" xfId="0" applyFill="1" applyBorder="1">
      <alignment vertical="center"/>
    </xf>
    <xf numFmtId="176" fontId="5" fillId="0" borderId="32" xfId="0" applyNumberFormat="1" applyFont="1" applyFill="1" applyBorder="1">
      <alignment vertical="center"/>
    </xf>
    <xf numFmtId="177" fontId="5" fillId="0" borderId="9" xfId="0" applyNumberFormat="1" applyFont="1" applyFill="1" applyBorder="1">
      <alignment vertical="center"/>
    </xf>
    <xf numFmtId="0" fontId="6" fillId="4" borderId="9" xfId="0" applyFont="1" applyFill="1" applyBorder="1" applyAlignment="1">
      <alignment horizontal="center" vertical="center"/>
    </xf>
    <xf numFmtId="0" fontId="0" fillId="0" borderId="0" xfId="0" applyFill="1">
      <alignment vertical="center"/>
    </xf>
    <xf numFmtId="176" fontId="5" fillId="3" borderId="30" xfId="0" applyNumberFormat="1" applyFont="1" applyFill="1" applyBorder="1">
      <alignment vertical="center"/>
    </xf>
    <xf numFmtId="0" fontId="0" fillId="4" borderId="9" xfId="0" applyFill="1" applyBorder="1" applyAlignment="1">
      <alignment horizontal="center" vertical="center"/>
    </xf>
    <xf numFmtId="176" fontId="5" fillId="0" borderId="34" xfId="0" applyNumberFormat="1" applyFont="1" applyFill="1" applyBorder="1">
      <alignment vertical="center"/>
    </xf>
    <xf numFmtId="176" fontId="5" fillId="0" borderId="29" xfId="0" applyNumberFormat="1" applyFont="1" applyFill="1" applyBorder="1">
      <alignment vertical="center"/>
    </xf>
    <xf numFmtId="0" fontId="0" fillId="4" borderId="31" xfId="0" applyFill="1" applyBorder="1" applyAlignment="1">
      <alignment vertical="center" shrinkToFit="1"/>
    </xf>
    <xf numFmtId="176" fontId="5" fillId="0" borderId="5" xfId="0" applyNumberFormat="1" applyFont="1" applyFill="1" applyBorder="1">
      <alignment vertical="center"/>
    </xf>
    <xf numFmtId="0" fontId="0" fillId="4" borderId="35" xfId="0" applyFill="1" applyBorder="1" applyAlignment="1">
      <alignment horizontal="center" vertical="center" wrapText="1"/>
    </xf>
    <xf numFmtId="0" fontId="0" fillId="0" borderId="36" xfId="0" applyFill="1" applyBorder="1">
      <alignment vertical="center"/>
    </xf>
    <xf numFmtId="0" fontId="0" fillId="0" borderId="37" xfId="0" applyFill="1" applyBorder="1">
      <alignment vertical="center"/>
    </xf>
    <xf numFmtId="176" fontId="5" fillId="3" borderId="17" xfId="0" applyNumberFormat="1" applyFont="1" applyFill="1" applyBorder="1">
      <alignment vertical="center"/>
    </xf>
    <xf numFmtId="176" fontId="5" fillId="0" borderId="9" xfId="0" applyNumberFormat="1" applyFont="1" applyFill="1" applyBorder="1">
      <alignment vertical="center"/>
    </xf>
    <xf numFmtId="177" fontId="5" fillId="0" borderId="38" xfId="0" applyNumberFormat="1" applyFont="1" applyFill="1" applyBorder="1">
      <alignment vertical="center"/>
    </xf>
    <xf numFmtId="176" fontId="5" fillId="0" borderId="39" xfId="0" applyNumberFormat="1" applyFont="1" applyFill="1" applyBorder="1">
      <alignment vertical="center"/>
    </xf>
    <xf numFmtId="0" fontId="0" fillId="4" borderId="32" xfId="0" applyFill="1" applyBorder="1" applyAlignment="1">
      <alignment horizontal="center" vertical="center" wrapText="1"/>
    </xf>
    <xf numFmtId="176" fontId="5" fillId="0" borderId="32" xfId="0" applyNumberFormat="1" applyFont="1" applyBorder="1">
      <alignment vertical="center"/>
    </xf>
    <xf numFmtId="0" fontId="0" fillId="4" borderId="9" xfId="0" applyFill="1" applyBorder="1" applyAlignment="1">
      <alignment horizontal="center" vertical="center"/>
    </xf>
    <xf numFmtId="176" fontId="5" fillId="0" borderId="33" xfId="0" applyNumberFormat="1" applyFont="1" applyFill="1" applyBorder="1">
      <alignment vertical="center"/>
    </xf>
    <xf numFmtId="0" fontId="0" fillId="0" borderId="40" xfId="0" applyBorder="1">
      <alignment vertical="center"/>
    </xf>
    <xf numFmtId="0" fontId="10" fillId="0" borderId="40" xfId="0" applyFont="1" applyBorder="1">
      <alignment vertical="center"/>
    </xf>
    <xf numFmtId="0" fontId="0" fillId="4" borderId="41" xfId="0" applyFill="1" applyBorder="1" applyAlignment="1">
      <alignment horizontal="center" vertical="center" wrapText="1"/>
    </xf>
    <xf numFmtId="176" fontId="5" fillId="0" borderId="41" xfId="0" applyNumberFormat="1" applyFont="1" applyFill="1" applyBorder="1">
      <alignment vertical="center"/>
    </xf>
    <xf numFmtId="176" fontId="5" fillId="0" borderId="42" xfId="0" applyNumberFormat="1" applyFont="1" applyFill="1" applyBorder="1">
      <alignment vertical="center"/>
    </xf>
    <xf numFmtId="0" fontId="0" fillId="0" borderId="43" xfId="0" applyBorder="1">
      <alignment vertical="center"/>
    </xf>
    <xf numFmtId="0" fontId="0" fillId="0" borderId="44" xfId="0" applyBorder="1">
      <alignment vertical="center"/>
    </xf>
    <xf numFmtId="0" fontId="6" fillId="0" borderId="23" xfId="0" applyFont="1" applyBorder="1" applyAlignment="1">
      <alignment horizontal="left" vertical="center" indent="2"/>
    </xf>
    <xf numFmtId="0" fontId="6" fillId="0" borderId="23" xfId="0" applyFont="1" applyFill="1" applyBorder="1" applyAlignment="1">
      <alignment horizontal="left" vertical="center" indent="2"/>
    </xf>
    <xf numFmtId="0" fontId="12" fillId="0" borderId="0" xfId="0" applyFont="1">
      <alignment vertical="center"/>
    </xf>
    <xf numFmtId="179" fontId="0" fillId="2" borderId="9" xfId="0" applyNumberFormat="1" applyFill="1" applyBorder="1">
      <alignment vertical="center"/>
    </xf>
    <xf numFmtId="176" fontId="0" fillId="2" borderId="9" xfId="0" applyNumberFormat="1" applyFill="1" applyBorder="1">
      <alignment vertical="center"/>
    </xf>
    <xf numFmtId="182" fontId="3" fillId="0" borderId="48" xfId="0" applyNumberFormat="1" applyFont="1" applyBorder="1" applyAlignment="1">
      <alignment horizontal="center" vertical="center"/>
    </xf>
    <xf numFmtId="182" fontId="3" fillId="0" borderId="50" xfId="0" applyNumberFormat="1" applyFont="1" applyBorder="1" applyAlignment="1">
      <alignment horizontal="center" vertical="center"/>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center" vertical="center"/>
    </xf>
    <xf numFmtId="0" fontId="15" fillId="0" borderId="0" xfId="0" applyFont="1">
      <alignment vertical="center"/>
    </xf>
    <xf numFmtId="176" fontId="14" fillId="0" borderId="0" xfId="0" applyNumberFormat="1" applyFont="1" applyFill="1" applyBorder="1">
      <alignment vertical="center"/>
    </xf>
    <xf numFmtId="0" fontId="17" fillId="0" borderId="0" xfId="0" applyFont="1">
      <alignment vertical="center"/>
    </xf>
    <xf numFmtId="181" fontId="18" fillId="0" borderId="0" xfId="0" applyNumberFormat="1" applyFont="1">
      <alignment vertical="center"/>
    </xf>
    <xf numFmtId="176" fontId="14" fillId="0" borderId="0"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7" fillId="0" borderId="0" xfId="0" applyFont="1" applyAlignment="1">
      <alignment horizontal="righ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21" fillId="0" borderId="0" xfId="0" applyFont="1" applyAlignment="1">
      <alignment horizontal="center" vertical="center"/>
    </xf>
    <xf numFmtId="0" fontId="20" fillId="0" borderId="0" xfId="0" applyFont="1" applyAlignment="1">
      <alignment horizontal="left" vertical="center"/>
    </xf>
    <xf numFmtId="176" fontId="18" fillId="0" borderId="0" xfId="0" applyNumberFormat="1" applyFont="1" applyFill="1">
      <alignment vertical="center"/>
    </xf>
    <xf numFmtId="176" fontId="5" fillId="3" borderId="9" xfId="0" applyNumberFormat="1" applyFont="1" applyFill="1" applyBorder="1">
      <alignment vertical="center"/>
    </xf>
    <xf numFmtId="176" fontId="0" fillId="3" borderId="9" xfId="0" applyNumberFormat="1" applyFill="1" applyBorder="1">
      <alignment vertical="center"/>
    </xf>
    <xf numFmtId="0" fontId="24" fillId="4" borderId="9" xfId="0" applyFont="1" applyFill="1" applyBorder="1" applyAlignment="1">
      <alignment horizontal="center" vertical="center" wrapText="1"/>
    </xf>
    <xf numFmtId="177" fontId="5" fillId="0" borderId="32" xfId="0" applyNumberFormat="1" applyFont="1" applyFill="1" applyBorder="1">
      <alignment vertical="center"/>
    </xf>
    <xf numFmtId="181" fontId="5" fillId="2" borderId="9" xfId="0" applyNumberFormat="1" applyFont="1" applyFill="1" applyBorder="1">
      <alignment vertical="center"/>
    </xf>
    <xf numFmtId="0" fontId="3" fillId="4" borderId="4" xfId="1" applyFont="1" applyFill="1" applyBorder="1" applyAlignment="1">
      <alignment horizontal="center" vertical="center"/>
    </xf>
    <xf numFmtId="0" fontId="23" fillId="0" borderId="0" xfId="0" applyFont="1">
      <alignment vertical="center"/>
    </xf>
    <xf numFmtId="0" fontId="3" fillId="0" borderId="0" xfId="1" applyFont="1" applyAlignment="1">
      <alignment horizontal="left" vertical="center"/>
    </xf>
    <xf numFmtId="0" fontId="3" fillId="4" borderId="5" xfId="1" applyFont="1" applyFill="1" applyBorder="1">
      <alignment vertical="center"/>
    </xf>
    <xf numFmtId="0" fontId="3" fillId="4" borderId="4" xfId="1" applyFont="1" applyFill="1" applyBorder="1">
      <alignment vertical="center"/>
    </xf>
    <xf numFmtId="0" fontId="3" fillId="4" borderId="4" xfId="1" applyFont="1" applyFill="1" applyBorder="1" applyAlignment="1">
      <alignment horizontal="right" vertical="center"/>
    </xf>
    <xf numFmtId="0" fontId="3" fillId="4" borderId="4" xfId="1" applyFont="1" applyFill="1" applyBorder="1" applyAlignment="1">
      <alignment horizontal="left" vertical="center"/>
    </xf>
    <xf numFmtId="0" fontId="3" fillId="4" borderId="6" xfId="1" applyFont="1" applyFill="1" applyBorder="1">
      <alignment vertical="center"/>
    </xf>
    <xf numFmtId="0" fontId="20" fillId="0" borderId="0" xfId="0" applyFont="1" applyAlignment="1"/>
    <xf numFmtId="176" fontId="3" fillId="2" borderId="0" xfId="1" applyNumberFormat="1" applyFont="1" applyFill="1" applyAlignment="1">
      <alignment horizontal="center" vertical="center"/>
    </xf>
    <xf numFmtId="0" fontId="25" fillId="0" borderId="9" xfId="0" applyFont="1" applyBorder="1" applyAlignment="1">
      <alignment horizontal="center" vertical="center"/>
    </xf>
    <xf numFmtId="0" fontId="7" fillId="4" borderId="9"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6" fillId="0" borderId="0" xfId="0" applyFont="1" applyAlignment="1"/>
    <xf numFmtId="0" fontId="25" fillId="0" borderId="6" xfId="0" applyFont="1" applyBorder="1" applyAlignment="1">
      <alignment horizontal="center" vertical="center"/>
    </xf>
    <xf numFmtId="0" fontId="7" fillId="4" borderId="11" xfId="0" applyFont="1" applyFill="1" applyBorder="1" applyAlignment="1">
      <alignment horizontal="center" vertical="center"/>
    </xf>
    <xf numFmtId="0" fontId="7" fillId="0" borderId="0" xfId="0" applyFont="1">
      <alignment vertical="center"/>
    </xf>
    <xf numFmtId="0" fontId="7" fillId="0" borderId="0" xfId="1" applyFont="1" applyAlignment="1">
      <alignment vertical="top"/>
    </xf>
    <xf numFmtId="0" fontId="7" fillId="0" borderId="0" xfId="1" applyFont="1">
      <alignment vertical="center"/>
    </xf>
    <xf numFmtId="176" fontId="7" fillId="2" borderId="9" xfId="0" applyNumberFormat="1" applyFont="1" applyFill="1" applyBorder="1">
      <alignment vertical="center"/>
    </xf>
    <xf numFmtId="0" fontId="7" fillId="7" borderId="61" xfId="0" applyFont="1" applyFill="1" applyBorder="1">
      <alignment vertical="center"/>
    </xf>
    <xf numFmtId="0" fontId="7" fillId="7" borderId="0" xfId="0" applyFont="1" applyFill="1" applyBorder="1">
      <alignment vertical="center"/>
    </xf>
    <xf numFmtId="0" fontId="7" fillId="7" borderId="62" xfId="0" applyFont="1" applyFill="1" applyBorder="1">
      <alignment vertical="center"/>
    </xf>
    <xf numFmtId="0" fontId="7" fillId="7" borderId="0" xfId="0" applyFont="1" applyFill="1">
      <alignment vertical="center"/>
    </xf>
    <xf numFmtId="0" fontId="7" fillId="0" borderId="0" xfId="0" applyFont="1" applyAlignment="1">
      <alignment vertical="center" wrapText="1"/>
    </xf>
    <xf numFmtId="0" fontId="7" fillId="0" borderId="0" xfId="1" applyFont="1" applyAlignment="1">
      <alignment horizontal="left" vertical="center"/>
    </xf>
    <xf numFmtId="0" fontId="7" fillId="0" borderId="4" xfId="0" applyFont="1" applyBorder="1">
      <alignment vertical="center"/>
    </xf>
    <xf numFmtId="0" fontId="7" fillId="0" borderId="4" xfId="0" applyFont="1" applyFill="1" applyBorder="1" applyAlignment="1">
      <alignment horizontal="center" vertical="center"/>
    </xf>
    <xf numFmtId="0" fontId="7" fillId="0" borderId="4" xfId="0" applyFont="1" applyBorder="1" applyAlignment="1">
      <alignment horizontal="center" vertical="center"/>
    </xf>
    <xf numFmtId="0" fontId="26" fillId="0" borderId="4" xfId="0" applyFont="1" applyBorder="1" applyAlignment="1">
      <alignment horizontal="center" vertical="center"/>
    </xf>
    <xf numFmtId="0" fontId="7" fillId="0" borderId="4" xfId="0" quotePrefix="1" applyFont="1" applyBorder="1" applyAlignment="1">
      <alignment horizontal="center" vertical="center"/>
    </xf>
    <xf numFmtId="0" fontId="7" fillId="2" borderId="4"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31" xfId="0" applyFont="1" applyFill="1" applyBorder="1" applyAlignment="1">
      <alignment horizontal="center" vertical="center"/>
    </xf>
    <xf numFmtId="0" fontId="7" fillId="0" borderId="0" xfId="0" applyFont="1" applyAlignment="1">
      <alignment horizontal="center" vertical="center"/>
    </xf>
    <xf numFmtId="0" fontId="28" fillId="0" borderId="59" xfId="0" applyFont="1" applyBorder="1" applyAlignment="1">
      <alignment horizontal="center" vertical="center"/>
    </xf>
    <xf numFmtId="0" fontId="4" fillId="0" borderId="47" xfId="0" applyFont="1" applyFill="1" applyBorder="1" applyAlignment="1">
      <alignment horizontal="center" vertical="center"/>
    </xf>
    <xf numFmtId="0" fontId="4" fillId="0" borderId="49" xfId="0" applyFont="1" applyFill="1" applyBorder="1" applyAlignment="1">
      <alignment horizontal="center" vertical="center"/>
    </xf>
    <xf numFmtId="0" fontId="7" fillId="0" borderId="59" xfId="0" applyFont="1" applyBorder="1">
      <alignment vertical="center"/>
    </xf>
    <xf numFmtId="0" fontId="7" fillId="0" borderId="60" xfId="0" applyFont="1" applyBorder="1">
      <alignment vertical="center"/>
    </xf>
    <xf numFmtId="0" fontId="7" fillId="3" borderId="73" xfId="0" applyFont="1" applyFill="1" applyBorder="1">
      <alignment vertical="center"/>
    </xf>
    <xf numFmtId="0" fontId="7" fillId="3" borderId="74" xfId="0" applyFont="1" applyFill="1" applyBorder="1">
      <alignment vertical="center"/>
    </xf>
    <xf numFmtId="0" fontId="7" fillId="3" borderId="75" xfId="0" applyFont="1" applyFill="1" applyBorder="1">
      <alignment vertical="center"/>
    </xf>
    <xf numFmtId="0" fontId="7" fillId="3" borderId="77" xfId="0" applyFont="1" applyFill="1" applyBorder="1">
      <alignment vertical="center"/>
    </xf>
    <xf numFmtId="0" fontId="7" fillId="3" borderId="78" xfId="0" applyFont="1" applyFill="1" applyBorder="1">
      <alignment vertical="center"/>
    </xf>
    <xf numFmtId="0" fontId="7" fillId="3" borderId="79" xfId="0" applyFont="1" applyFill="1" applyBorder="1">
      <alignment vertical="center"/>
    </xf>
    <xf numFmtId="177" fontId="5" fillId="3" borderId="9" xfId="0" applyNumberFormat="1" applyFont="1" applyFill="1" applyBorder="1">
      <alignment vertical="center"/>
    </xf>
    <xf numFmtId="176" fontId="29" fillId="2" borderId="9" xfId="0" applyNumberFormat="1" applyFont="1" applyFill="1" applyBorder="1">
      <alignment vertical="center"/>
    </xf>
    <xf numFmtId="0" fontId="30" fillId="4" borderId="9" xfId="0" applyFont="1" applyFill="1" applyBorder="1" applyAlignment="1">
      <alignment horizontal="center" vertical="center"/>
    </xf>
    <xf numFmtId="0" fontId="31" fillId="0" borderId="0" xfId="0" applyFont="1" applyFill="1" applyBorder="1" applyAlignment="1">
      <alignment vertical="center"/>
    </xf>
    <xf numFmtId="0" fontId="32" fillId="0" borderId="0" xfId="0" applyFont="1" applyFill="1" applyBorder="1">
      <alignment vertical="center"/>
    </xf>
    <xf numFmtId="0" fontId="31" fillId="0" borderId="0" xfId="0" applyFont="1" applyFill="1" applyBorder="1" applyAlignment="1">
      <alignment vertical="center" wrapText="1"/>
    </xf>
    <xf numFmtId="0" fontId="31" fillId="0" borderId="0" xfId="0" applyFont="1" applyFill="1" applyBorder="1" applyAlignment="1">
      <alignment horizontal="center" vertical="center"/>
    </xf>
    <xf numFmtId="176" fontId="31" fillId="0" borderId="0" xfId="0" applyNumberFormat="1" applyFont="1" applyFill="1" applyBorder="1" applyAlignment="1">
      <alignment vertical="center"/>
    </xf>
    <xf numFmtId="0" fontId="33" fillId="0" borderId="0" xfId="0" applyFont="1">
      <alignment vertical="center"/>
    </xf>
    <xf numFmtId="0" fontId="34" fillId="0" borderId="0" xfId="0" applyFont="1" applyAlignment="1">
      <alignment vertical="center"/>
    </xf>
    <xf numFmtId="176" fontId="21" fillId="0" borderId="54" xfId="0" applyNumberFormat="1" applyFont="1" applyBorder="1" applyAlignment="1">
      <alignment horizontal="right" vertical="center"/>
    </xf>
    <xf numFmtId="176" fontId="21" fillId="0" borderId="56" xfId="0" applyNumberFormat="1" applyFont="1" applyBorder="1" applyAlignment="1">
      <alignment horizontal="right" vertical="center"/>
    </xf>
    <xf numFmtId="0" fontId="21" fillId="0" borderId="63" xfId="0" applyFont="1" applyBorder="1" applyAlignment="1">
      <alignment horizontal="center" vertical="center"/>
    </xf>
    <xf numFmtId="0" fontId="21" fillId="0" borderId="0" xfId="0" applyFont="1" applyBorder="1" applyAlignment="1">
      <alignment horizontal="center" vertical="center"/>
    </xf>
    <xf numFmtId="0" fontId="20" fillId="4" borderId="1" xfId="0" applyFont="1" applyFill="1" applyBorder="1" applyAlignment="1">
      <alignment horizontal="center" vertical="center"/>
    </xf>
    <xf numFmtId="0" fontId="20" fillId="4" borderId="2"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5" xfId="0" applyFont="1" applyFill="1" applyBorder="1" applyAlignment="1">
      <alignment horizontal="center" vertical="center"/>
    </xf>
    <xf numFmtId="176" fontId="21" fillId="0" borderId="2" xfId="0" applyNumberFormat="1" applyFont="1" applyBorder="1" applyAlignment="1">
      <alignment vertical="center"/>
    </xf>
    <xf numFmtId="176" fontId="21" fillId="0" borderId="2" xfId="0" applyNumberFormat="1" applyFont="1" applyFill="1" applyBorder="1" applyAlignment="1">
      <alignment horizontal="right" vertical="center"/>
    </xf>
    <xf numFmtId="0" fontId="16" fillId="0" borderId="0" xfId="0" applyFont="1" applyAlignment="1">
      <alignment horizontal="left"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1" fillId="0" borderId="0" xfId="0" applyFont="1" applyAlignment="1">
      <alignment horizontal="left" vertical="center"/>
    </xf>
    <xf numFmtId="0" fontId="20" fillId="4" borderId="2" xfId="0" applyFont="1" applyFill="1" applyBorder="1" applyAlignment="1">
      <alignment horizontal="center" vertical="center" wrapText="1"/>
    </xf>
    <xf numFmtId="0" fontId="20" fillId="0" borderId="0" xfId="0" applyFont="1" applyAlignment="1">
      <alignment horizontal="left" vertical="center"/>
    </xf>
    <xf numFmtId="0" fontId="20" fillId="4" borderId="1" xfId="0" applyFont="1" applyFill="1" applyBorder="1" applyAlignment="1">
      <alignment horizontal="center" vertical="center" wrapText="1"/>
    </xf>
    <xf numFmtId="176" fontId="21" fillId="0" borderId="2" xfId="0" applyNumberFormat="1" applyFont="1" applyBorder="1" applyAlignment="1">
      <alignment horizontal="right" vertical="center"/>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176" fontId="21" fillId="0" borderId="52" xfId="0" applyNumberFormat="1" applyFont="1" applyBorder="1" applyAlignment="1">
      <alignment horizontal="right" vertical="center"/>
    </xf>
    <xf numFmtId="176" fontId="21" fillId="0" borderId="55" xfId="0" applyNumberFormat="1" applyFont="1" applyBorder="1" applyAlignment="1">
      <alignment horizontal="right" vertical="center"/>
    </xf>
    <xf numFmtId="0" fontId="22" fillId="4" borderId="54" xfId="0" applyFont="1" applyFill="1" applyBorder="1" applyAlignment="1">
      <alignment horizontal="center" vertical="center"/>
    </xf>
    <xf numFmtId="0" fontId="22" fillId="4" borderId="55" xfId="0" applyFont="1" applyFill="1" applyBorder="1" applyAlignment="1">
      <alignment horizontal="center" vertical="center"/>
    </xf>
    <xf numFmtId="0" fontId="20" fillId="4" borderId="80" xfId="0" applyFont="1" applyFill="1" applyBorder="1" applyAlignment="1">
      <alignment horizontal="center" vertical="center"/>
    </xf>
    <xf numFmtId="0" fontId="20" fillId="4" borderId="70" xfId="0" applyFont="1" applyFill="1" applyBorder="1" applyAlignment="1">
      <alignment horizontal="center" vertical="center"/>
    </xf>
    <xf numFmtId="176" fontId="21" fillId="0" borderId="3" xfId="0" applyNumberFormat="1" applyFont="1" applyBorder="1" applyAlignment="1">
      <alignment horizontal="right" vertical="center"/>
    </xf>
    <xf numFmtId="176" fontId="21" fillId="0" borderId="53" xfId="0" applyNumberFormat="1" applyFont="1" applyBorder="1" applyAlignment="1">
      <alignment horizontal="right" vertical="center"/>
    </xf>
    <xf numFmtId="176" fontId="21" fillId="0" borderId="3" xfId="0" applyNumberFormat="1" applyFont="1" applyFill="1" applyBorder="1" applyAlignment="1">
      <alignment horizontal="right" vertical="center"/>
    </xf>
    <xf numFmtId="0" fontId="20" fillId="0" borderId="0" xfId="0" applyFont="1" applyAlignment="1">
      <alignment horizontal="right" vertical="center"/>
    </xf>
    <xf numFmtId="179" fontId="21" fillId="0" borderId="2" xfId="0" applyNumberFormat="1" applyFont="1" applyFill="1" applyBorder="1" applyAlignment="1">
      <alignment horizontal="right" vertical="center"/>
    </xf>
    <xf numFmtId="0" fontId="21" fillId="4" borderId="12" xfId="0" applyFont="1" applyFill="1" applyBorder="1" applyAlignment="1">
      <alignment horizontal="center" vertical="center"/>
    </xf>
    <xf numFmtId="0" fontId="21" fillId="4" borderId="15" xfId="0" applyFont="1" applyFill="1" applyBorder="1" applyAlignment="1">
      <alignment horizontal="center" vertical="center"/>
    </xf>
    <xf numFmtId="0" fontId="20" fillId="4" borderId="3" xfId="0" applyFont="1" applyFill="1" applyBorder="1" applyAlignment="1">
      <alignment horizontal="center" vertical="center" wrapText="1"/>
    </xf>
    <xf numFmtId="0" fontId="20" fillId="4" borderId="3" xfId="0" applyFont="1" applyFill="1" applyBorder="1" applyAlignment="1">
      <alignment horizontal="center" vertical="center"/>
    </xf>
    <xf numFmtId="0" fontId="20" fillId="0" borderId="43" xfId="0" applyFont="1" applyBorder="1" applyAlignment="1">
      <alignment horizontal="left" vertical="center" shrinkToFit="1"/>
    </xf>
    <xf numFmtId="0" fontId="20" fillId="0" borderId="44" xfId="0" applyFont="1" applyBorder="1" applyAlignment="1">
      <alignment horizontal="left" vertical="center" shrinkToFit="1"/>
    </xf>
    <xf numFmtId="0" fontId="22" fillId="4" borderId="1" xfId="0" applyFont="1" applyFill="1" applyBorder="1" applyAlignment="1">
      <alignment horizontal="center" vertical="center"/>
    </xf>
    <xf numFmtId="0" fontId="22" fillId="4" borderId="2" xfId="0" applyFont="1" applyFill="1" applyBorder="1" applyAlignment="1">
      <alignment horizontal="center" vertical="center"/>
    </xf>
    <xf numFmtId="179" fontId="21" fillId="0" borderId="3" xfId="0" applyNumberFormat="1" applyFont="1" applyFill="1" applyBorder="1" applyAlignment="1">
      <alignment horizontal="right" vertical="center"/>
    </xf>
    <xf numFmtId="0" fontId="20" fillId="0" borderId="70" xfId="0" applyFont="1" applyBorder="1" applyAlignment="1">
      <alignment horizontal="right" vertical="center"/>
    </xf>
    <xf numFmtId="0" fontId="20" fillId="0" borderId="72" xfId="0" applyFont="1" applyBorder="1" applyAlignment="1">
      <alignment horizontal="right" vertical="center"/>
    </xf>
    <xf numFmtId="0" fontId="21" fillId="0" borderId="13" xfId="0" applyFont="1" applyFill="1" applyBorder="1" applyAlignment="1">
      <alignment horizontal="right" vertical="center"/>
    </xf>
    <xf numFmtId="0" fontId="20" fillId="4" borderId="57" xfId="0" applyFont="1" applyFill="1" applyBorder="1" applyAlignment="1">
      <alignment horizontal="center" vertical="center"/>
    </xf>
    <xf numFmtId="0" fontId="20" fillId="0" borderId="2" xfId="0" applyFont="1" applyBorder="1" applyAlignment="1">
      <alignment horizontal="right" vertical="center"/>
    </xf>
    <xf numFmtId="0" fontId="20" fillId="0" borderId="57" xfId="0" applyFont="1" applyBorder="1" applyAlignment="1">
      <alignment horizontal="right" vertical="center"/>
    </xf>
    <xf numFmtId="176" fontId="21" fillId="0" borderId="70" xfId="0" applyNumberFormat="1" applyFont="1" applyBorder="1" applyAlignment="1">
      <alignment horizontal="right" vertical="center"/>
    </xf>
    <xf numFmtId="176" fontId="21" fillId="0" borderId="81" xfId="0" applyNumberFormat="1" applyFont="1" applyBorder="1" applyAlignment="1">
      <alignment horizontal="right" vertical="center"/>
    </xf>
    <xf numFmtId="176" fontId="21" fillId="0" borderId="13" xfId="0" applyNumberFormat="1" applyFont="1" applyBorder="1" applyAlignment="1">
      <alignment horizontal="right" vertical="center"/>
    </xf>
    <xf numFmtId="176" fontId="21" fillId="0" borderId="14" xfId="0" applyNumberFormat="1" applyFont="1" applyBorder="1" applyAlignment="1">
      <alignment horizontal="right" vertical="center"/>
    </xf>
    <xf numFmtId="14" fontId="21" fillId="0" borderId="0" xfId="0" applyNumberFormat="1" applyFont="1" applyAlignment="1">
      <alignment horizontal="left" vertical="center" shrinkToFit="1"/>
    </xf>
    <xf numFmtId="0" fontId="21" fillId="0" borderId="0" xfId="0" applyFont="1" applyAlignment="1">
      <alignment horizontal="left" vertical="center" shrinkToFit="1"/>
    </xf>
    <xf numFmtId="14" fontId="11" fillId="0" borderId="23" xfId="0" applyNumberFormat="1" applyFont="1" applyFill="1" applyBorder="1" applyAlignment="1">
      <alignment horizontal="center" vertical="center"/>
    </xf>
    <xf numFmtId="14" fontId="11" fillId="0" borderId="44" xfId="0" applyNumberFormat="1" applyFont="1" applyFill="1" applyBorder="1" applyAlignment="1">
      <alignment horizontal="center" vertical="center"/>
    </xf>
    <xf numFmtId="14" fontId="11" fillId="0" borderId="23" xfId="0" applyNumberFormat="1" applyFont="1" applyBorder="1" applyAlignment="1">
      <alignment horizontal="center" vertical="center"/>
    </xf>
    <xf numFmtId="14" fontId="11" fillId="0" borderId="44" xfId="0" applyNumberFormat="1" applyFont="1" applyBorder="1" applyAlignment="1">
      <alignment horizontal="center" vertical="center"/>
    </xf>
    <xf numFmtId="179" fontId="0" fillId="4" borderId="5" xfId="0" applyNumberFormat="1" applyFill="1" applyBorder="1" applyAlignment="1">
      <alignment horizontal="left" vertical="center" wrapText="1"/>
    </xf>
    <xf numFmtId="179" fontId="0" fillId="4" borderId="4" xfId="0" applyNumberFormat="1" applyFill="1" applyBorder="1" applyAlignment="1">
      <alignment horizontal="left" vertical="center" wrapText="1"/>
    </xf>
    <xf numFmtId="0" fontId="0" fillId="4" borderId="5" xfId="0" applyFill="1" applyBorder="1" applyAlignment="1">
      <alignment horizontal="left" vertical="center" wrapText="1"/>
    </xf>
    <xf numFmtId="0" fontId="0" fillId="4" borderId="4" xfId="0" applyFill="1" applyBorder="1" applyAlignment="1">
      <alignment horizontal="left" vertical="center" wrapText="1"/>
    </xf>
    <xf numFmtId="0" fontId="0" fillId="4" borderId="6" xfId="0" applyFill="1" applyBorder="1" applyAlignment="1">
      <alignment horizontal="left" vertical="center" wrapText="1"/>
    </xf>
    <xf numFmtId="0" fontId="6" fillId="4" borderId="5" xfId="0" applyFont="1" applyFill="1" applyBorder="1" applyAlignment="1">
      <alignment horizontal="center" vertical="center"/>
    </xf>
    <xf numFmtId="0" fontId="6" fillId="4"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182" fontId="5" fillId="0" borderId="5" xfId="0" applyNumberFormat="1" applyFont="1" applyBorder="1" applyAlignment="1">
      <alignment horizontal="center" vertical="center"/>
    </xf>
    <xf numFmtId="182" fontId="5" fillId="0" borderId="4" xfId="0" applyNumberFormat="1" applyFont="1"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9" fillId="4" borderId="9" xfId="0" applyFont="1" applyFill="1" applyBorder="1" applyAlignment="1">
      <alignment horizontal="center" vertical="center" textRotation="255"/>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9" fontId="0" fillId="4" borderId="5" xfId="0" applyNumberFormat="1" applyFill="1" applyBorder="1" applyAlignment="1">
      <alignment horizontal="left" vertical="center"/>
    </xf>
    <xf numFmtId="179" fontId="0" fillId="4" borderId="4" xfId="0" applyNumberFormat="1" applyFill="1" applyBorder="1" applyAlignment="1">
      <alignment horizontal="left" vertical="center"/>
    </xf>
    <xf numFmtId="0" fontId="3" fillId="4" borderId="1" xfId="1" applyFont="1" applyFill="1" applyBorder="1" applyAlignment="1">
      <alignment horizontal="center" vertical="center"/>
    </xf>
    <xf numFmtId="0" fontId="3" fillId="4" borderId="2" xfId="1" applyFont="1" applyFill="1" applyBorder="1" applyAlignment="1">
      <alignment horizontal="center" vertical="center"/>
    </xf>
    <xf numFmtId="0" fontId="3" fillId="4" borderId="3" xfId="1" applyFont="1" applyFill="1" applyBorder="1" applyAlignment="1">
      <alignment horizontal="center" vertical="center"/>
    </xf>
    <xf numFmtId="0" fontId="3" fillId="4" borderId="13" xfId="1" applyFont="1" applyFill="1" applyBorder="1" applyAlignment="1">
      <alignment horizontal="center" vertical="center"/>
    </xf>
    <xf numFmtId="0" fontId="3" fillId="4" borderId="14" xfId="1" applyFont="1" applyFill="1" applyBorder="1" applyAlignment="1">
      <alignment horizontal="center" vertical="center"/>
    </xf>
    <xf numFmtId="0" fontId="3" fillId="4" borderId="17" xfId="1" applyFont="1" applyFill="1" applyBorder="1" applyAlignment="1">
      <alignment horizontal="right" vertical="center" indent="1"/>
    </xf>
    <xf numFmtId="0" fontId="3" fillId="4" borderId="18" xfId="1" applyFont="1" applyFill="1" applyBorder="1" applyAlignment="1">
      <alignment horizontal="right" vertical="center" indent="1"/>
    </xf>
    <xf numFmtId="0" fontId="3" fillId="4" borderId="20" xfId="1" applyFont="1" applyFill="1" applyBorder="1" applyAlignment="1">
      <alignment horizontal="right" vertical="center" indent="1"/>
    </xf>
    <xf numFmtId="0" fontId="4" fillId="0" borderId="9" xfId="1" applyFont="1" applyBorder="1" applyAlignment="1">
      <alignment horizontal="center" vertical="center"/>
    </xf>
    <xf numFmtId="0" fontId="3" fillId="4" borderId="26" xfId="1" applyFont="1" applyFill="1" applyBorder="1" applyAlignment="1">
      <alignment horizontal="center" vertical="center"/>
    </xf>
    <xf numFmtId="0" fontId="3" fillId="4" borderId="27" xfId="1" applyFont="1" applyFill="1" applyBorder="1" applyAlignment="1">
      <alignment horizontal="center" vertical="center"/>
    </xf>
    <xf numFmtId="0" fontId="3" fillId="4" borderId="28"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6" xfId="1" applyFont="1" applyFill="1" applyBorder="1" applyAlignment="1">
      <alignment horizontal="center" vertical="center"/>
    </xf>
    <xf numFmtId="0" fontId="3" fillId="4" borderId="9" xfId="1" applyFont="1" applyFill="1" applyBorder="1" applyAlignment="1">
      <alignment horizontal="center" vertical="center"/>
    </xf>
    <xf numFmtId="0" fontId="4" fillId="0" borderId="9"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19" xfId="1" applyFont="1" applyFill="1" applyBorder="1" applyAlignment="1">
      <alignment horizontal="center" vertical="center"/>
    </xf>
    <xf numFmtId="14" fontId="4" fillId="0" borderId="19" xfId="1" applyNumberFormat="1" applyFont="1" applyFill="1" applyBorder="1" applyAlignment="1">
      <alignment horizontal="center" vertical="center"/>
    </xf>
    <xf numFmtId="0" fontId="4" fillId="0" borderId="19" xfId="1" applyFont="1" applyFill="1" applyBorder="1" applyAlignment="1">
      <alignment horizontal="center" vertical="center"/>
    </xf>
    <xf numFmtId="0" fontId="4" fillId="0" borderId="8" xfId="1" applyFont="1" applyFill="1" applyBorder="1" applyAlignment="1">
      <alignment horizontal="center" vertical="center"/>
    </xf>
    <xf numFmtId="56" fontId="3" fillId="4" borderId="7" xfId="1" applyNumberFormat="1" applyFont="1" applyFill="1" applyBorder="1" applyAlignment="1">
      <alignment horizontal="right" vertical="center" indent="1"/>
    </xf>
    <xf numFmtId="56" fontId="3" fillId="4" borderId="19" xfId="1" applyNumberFormat="1" applyFont="1" applyFill="1" applyBorder="1" applyAlignment="1">
      <alignment horizontal="right" vertical="center" indent="1"/>
    </xf>
    <xf numFmtId="0" fontId="3" fillId="4" borderId="9" xfId="1" applyFont="1" applyFill="1" applyBorder="1" applyAlignment="1">
      <alignment horizontal="center" vertical="center" textRotation="255"/>
    </xf>
    <xf numFmtId="0" fontId="3" fillId="4" borderId="21" xfId="1" applyFont="1" applyFill="1" applyBorder="1" applyAlignment="1">
      <alignment horizontal="right" vertical="center" indent="1"/>
    </xf>
    <xf numFmtId="0" fontId="3" fillId="4" borderId="22" xfId="1" applyFont="1" applyFill="1" applyBorder="1" applyAlignment="1">
      <alignment horizontal="right" vertical="center" indent="1"/>
    </xf>
    <xf numFmtId="0" fontId="3" fillId="4" borderId="19" xfId="1" applyFont="1" applyFill="1" applyBorder="1" applyAlignment="1">
      <alignment horizontal="right" vertical="center" indent="1"/>
    </xf>
    <xf numFmtId="0" fontId="3" fillId="4" borderId="7" xfId="1" applyFont="1" applyFill="1" applyBorder="1" applyAlignment="1">
      <alignment horizontal="right" vertical="center" indent="1"/>
    </xf>
    <xf numFmtId="0" fontId="3" fillId="4" borderId="12" xfId="1" applyFont="1" applyFill="1" applyBorder="1" applyAlignment="1">
      <alignment horizontal="center" vertical="center"/>
    </xf>
    <xf numFmtId="0" fontId="3" fillId="4" borderId="15" xfId="1" applyFont="1" applyFill="1" applyBorder="1" applyAlignment="1">
      <alignment horizontal="center" vertical="center"/>
    </xf>
    <xf numFmtId="176" fontId="3" fillId="2" borderId="5" xfId="1" applyNumberFormat="1" applyFont="1" applyFill="1" applyBorder="1" applyAlignment="1">
      <alignment horizontal="right" vertical="center"/>
    </xf>
    <xf numFmtId="176" fontId="3" fillId="2" borderId="4" xfId="1" applyNumberFormat="1" applyFont="1" applyFill="1" applyBorder="1" applyAlignment="1">
      <alignment horizontal="right" vertical="center"/>
    </xf>
    <xf numFmtId="176" fontId="3" fillId="2" borderId="6" xfId="1" applyNumberFormat="1" applyFont="1" applyFill="1" applyBorder="1" applyAlignment="1">
      <alignment horizontal="right" vertical="center"/>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176" fontId="7" fillId="2" borderId="4" xfId="0" applyNumberFormat="1" applyFont="1" applyFill="1" applyBorder="1" applyAlignment="1">
      <alignment horizontal="center" vertical="center"/>
    </xf>
    <xf numFmtId="176" fontId="7" fillId="2" borderId="5" xfId="0" applyNumberFormat="1" applyFont="1" applyFill="1" applyBorder="1" applyAlignment="1">
      <alignment horizontal="center" vertical="center"/>
    </xf>
    <xf numFmtId="0" fontId="7" fillId="4" borderId="9" xfId="0" applyFont="1" applyFill="1" applyBorder="1" applyAlignment="1">
      <alignment horizontal="center" vertical="center"/>
    </xf>
    <xf numFmtId="176" fontId="25" fillId="3" borderId="66" xfId="0" applyNumberFormat="1" applyFont="1" applyFill="1" applyBorder="1" applyAlignment="1">
      <alignment horizontal="right" vertical="center"/>
    </xf>
    <xf numFmtId="176" fontId="25" fillId="3" borderId="67" xfId="0" applyNumberFormat="1" applyFont="1" applyFill="1" applyBorder="1" applyAlignment="1">
      <alignment horizontal="right" vertical="center"/>
    </xf>
    <xf numFmtId="176" fontId="25" fillId="3" borderId="71" xfId="0" applyNumberFormat="1" applyFont="1" applyFill="1" applyBorder="1" applyAlignment="1">
      <alignment horizontal="right" vertical="center"/>
    </xf>
    <xf numFmtId="176" fontId="25" fillId="3" borderId="68" xfId="0" applyNumberFormat="1" applyFont="1" applyFill="1" applyBorder="1" applyAlignment="1">
      <alignment horizontal="right" vertical="center"/>
    </xf>
    <xf numFmtId="176" fontId="25" fillId="3" borderId="2" xfId="0" applyNumberFormat="1" applyFont="1" applyFill="1" applyBorder="1" applyAlignment="1">
      <alignment horizontal="right" vertical="center"/>
    </xf>
    <xf numFmtId="176" fontId="25" fillId="3" borderId="57" xfId="0" applyNumberFormat="1" applyFont="1" applyFill="1" applyBorder="1" applyAlignment="1">
      <alignment horizontal="right" vertical="center"/>
    </xf>
    <xf numFmtId="176" fontId="25" fillId="3" borderId="69" xfId="0" applyNumberFormat="1" applyFont="1" applyFill="1" applyBorder="1" applyAlignment="1">
      <alignment horizontal="right" vertical="center"/>
    </xf>
    <xf numFmtId="176" fontId="25" fillId="3" borderId="70" xfId="0" applyNumberFormat="1" applyFont="1" applyFill="1" applyBorder="1" applyAlignment="1">
      <alignment horizontal="right" vertical="center"/>
    </xf>
    <xf numFmtId="176" fontId="25" fillId="3" borderId="72" xfId="0" applyNumberFormat="1" applyFont="1" applyFill="1" applyBorder="1" applyAlignment="1">
      <alignment horizontal="right" vertical="center"/>
    </xf>
    <xf numFmtId="0" fontId="7" fillId="4" borderId="11"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7" fillId="4" borderId="9" xfId="0" applyFont="1" applyFill="1" applyBorder="1" applyAlignment="1">
      <alignment horizontal="left" vertical="center"/>
    </xf>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9" borderId="5" xfId="0" applyFont="1" applyFill="1" applyBorder="1" applyAlignment="1">
      <alignment horizontal="right" vertical="center" shrinkToFit="1"/>
    </xf>
    <xf numFmtId="0" fontId="7" fillId="9" borderId="4" xfId="0" applyFont="1" applyFill="1" applyBorder="1" applyAlignment="1">
      <alignment horizontal="right" vertical="center" shrinkToFit="1"/>
    </xf>
    <xf numFmtId="0" fontId="7" fillId="9" borderId="6" xfId="0" applyFont="1" applyFill="1" applyBorder="1" applyAlignment="1">
      <alignment horizontal="right" vertical="center" shrinkToFit="1"/>
    </xf>
    <xf numFmtId="0" fontId="7" fillId="4" borderId="5" xfId="0" applyFont="1" applyFill="1" applyBorder="1" applyAlignment="1">
      <alignment horizontal="center" vertical="center" wrapText="1"/>
    </xf>
    <xf numFmtId="0" fontId="7" fillId="4" borderId="64"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0" borderId="0" xfId="0" applyFont="1" applyBorder="1" applyAlignment="1">
      <alignment horizontal="left"/>
    </xf>
    <xf numFmtId="0" fontId="6" fillId="0" borderId="43" xfId="0" applyFont="1" applyBorder="1" applyAlignment="1">
      <alignment horizontal="left"/>
    </xf>
    <xf numFmtId="0" fontId="25" fillId="0" borderId="5" xfId="1" applyFont="1" applyBorder="1" applyAlignment="1">
      <alignment horizontal="center" vertical="center"/>
    </xf>
    <xf numFmtId="0" fontId="25" fillId="0" borderId="6" xfId="1" applyFont="1" applyBorder="1" applyAlignment="1">
      <alignment horizontal="center" vertical="center"/>
    </xf>
    <xf numFmtId="0" fontId="7" fillId="4" borderId="5" xfId="1" applyFont="1" applyFill="1" applyBorder="1" applyAlignment="1">
      <alignment horizontal="center" vertical="center"/>
    </xf>
    <xf numFmtId="0" fontId="7" fillId="4" borderId="6" xfId="1" applyFont="1" applyFill="1" applyBorder="1" applyAlignment="1">
      <alignment horizontal="center" vertical="center"/>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176" fontId="7" fillId="2" borderId="6" xfId="0" applyNumberFormat="1" applyFont="1" applyFill="1" applyBorder="1" applyAlignment="1">
      <alignment horizontal="center" vertical="center"/>
    </xf>
    <xf numFmtId="14" fontId="25" fillId="0" borderId="9" xfId="1" applyNumberFormat="1" applyFont="1" applyFill="1" applyBorder="1" applyAlignment="1">
      <alignment horizontal="center" vertical="center"/>
    </xf>
    <xf numFmtId="0" fontId="25" fillId="0" borderId="9" xfId="1" applyFont="1" applyFill="1" applyBorder="1" applyAlignment="1">
      <alignment horizontal="center" vertical="center"/>
    </xf>
    <xf numFmtId="0" fontId="7" fillId="6" borderId="9" xfId="1" applyFont="1" applyFill="1" applyBorder="1" applyAlignment="1">
      <alignment horizontal="right" vertical="center" wrapText="1"/>
    </xf>
    <xf numFmtId="0" fontId="7" fillId="6" borderId="5" xfId="1" applyFont="1" applyFill="1" applyBorder="1" applyAlignment="1">
      <alignment horizontal="right" vertical="center" wrapText="1"/>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5" xfId="0" applyFont="1" applyFill="1" applyBorder="1" applyAlignment="1">
      <alignment horizontal="center" vertical="center" shrinkToFit="1"/>
    </xf>
    <xf numFmtId="0" fontId="7" fillId="8" borderId="4" xfId="0" applyFont="1" applyFill="1" applyBorder="1" applyAlignment="1">
      <alignment horizontal="center" vertical="center" shrinkToFit="1"/>
    </xf>
    <xf numFmtId="0" fontId="7" fillId="8" borderId="6" xfId="0" applyFont="1" applyFill="1" applyBorder="1" applyAlignment="1">
      <alignment horizontal="center" vertical="center" shrinkToFit="1"/>
    </xf>
    <xf numFmtId="0" fontId="26" fillId="4" borderId="5" xfId="0" applyFont="1" applyFill="1" applyBorder="1" applyAlignment="1">
      <alignment horizontal="center" vertical="center"/>
    </xf>
    <xf numFmtId="0" fontId="26" fillId="4" borderId="64" xfId="0" applyFont="1" applyFill="1" applyBorder="1" applyAlignment="1">
      <alignment horizontal="center" vertical="center"/>
    </xf>
    <xf numFmtId="14" fontId="25" fillId="0" borderId="57" xfId="0" applyNumberFormat="1" applyFont="1" applyFill="1" applyBorder="1" applyAlignment="1">
      <alignment horizontal="center" vertical="center" shrinkToFit="1"/>
    </xf>
    <xf numFmtId="14" fontId="25" fillId="0" borderId="64" xfId="0" applyNumberFormat="1" applyFont="1" applyFill="1" applyBorder="1" applyAlignment="1">
      <alignment horizontal="center" vertical="center" shrinkToFit="1"/>
    </xf>
    <xf numFmtId="0" fontId="25" fillId="0" borderId="57" xfId="0" applyNumberFormat="1" applyFont="1" applyFill="1" applyBorder="1" applyAlignment="1">
      <alignment horizontal="center" vertical="center" shrinkToFit="1"/>
    </xf>
    <xf numFmtId="0" fontId="25" fillId="0" borderId="64" xfId="0" applyNumberFormat="1" applyFont="1" applyFill="1" applyBorder="1" applyAlignment="1">
      <alignment horizontal="center" vertical="center" shrinkToFit="1"/>
    </xf>
    <xf numFmtId="176" fontId="25" fillId="0" borderId="2" xfId="0" applyNumberFormat="1" applyFont="1" applyFill="1" applyBorder="1" applyAlignment="1">
      <alignment horizontal="right" vertical="center"/>
    </xf>
    <xf numFmtId="0" fontId="7" fillId="8" borderId="3" xfId="0" applyFont="1" applyFill="1" applyBorder="1" applyAlignment="1">
      <alignment horizontal="center" vertical="center" wrapText="1"/>
    </xf>
    <xf numFmtId="176" fontId="25" fillId="0" borderId="1" xfId="0" applyNumberFormat="1" applyFont="1" applyFill="1" applyBorder="1" applyAlignment="1">
      <alignment horizontal="right" vertical="center"/>
    </xf>
    <xf numFmtId="176" fontId="25" fillId="0" borderId="3" xfId="0" applyNumberFormat="1" applyFont="1" applyFill="1" applyBorder="1" applyAlignment="1">
      <alignment horizontal="right" vertical="center"/>
    </xf>
    <xf numFmtId="176" fontId="25" fillId="0" borderId="12" xfId="0" applyNumberFormat="1" applyFont="1" applyBorder="1" applyAlignment="1">
      <alignment horizontal="right" vertical="center"/>
    </xf>
    <xf numFmtId="176" fontId="25" fillId="0" borderId="15" xfId="0" applyNumberFormat="1" applyFont="1" applyBorder="1" applyAlignment="1">
      <alignment horizontal="right" vertical="center"/>
    </xf>
    <xf numFmtId="176" fontId="25" fillId="0" borderId="2" xfId="0" applyNumberFormat="1" applyFont="1" applyBorder="1" applyAlignment="1">
      <alignment horizontal="right" vertical="center"/>
    </xf>
    <xf numFmtId="176" fontId="25" fillId="0" borderId="13" xfId="0" applyNumberFormat="1" applyFont="1" applyBorder="1" applyAlignment="1">
      <alignment horizontal="right" vertical="center"/>
    </xf>
    <xf numFmtId="176" fontId="25" fillId="0" borderId="57" xfId="0" applyNumberFormat="1" applyFont="1" applyFill="1" applyBorder="1" applyAlignment="1">
      <alignment horizontal="right" vertical="center"/>
    </xf>
    <xf numFmtId="176" fontId="25" fillId="0" borderId="64" xfId="0" applyNumberFormat="1" applyFont="1" applyFill="1" applyBorder="1" applyAlignment="1">
      <alignment horizontal="right" vertical="center"/>
    </xf>
    <xf numFmtId="176" fontId="25" fillId="0" borderId="14" xfId="0" applyNumberFormat="1" applyFont="1" applyBorder="1" applyAlignment="1">
      <alignment horizontal="right" vertical="center"/>
    </xf>
    <xf numFmtId="176" fontId="25" fillId="0" borderId="57" xfId="0" applyNumberFormat="1" applyFont="1" applyBorder="1" applyAlignment="1">
      <alignment horizontal="right" vertical="center"/>
    </xf>
    <xf numFmtId="0" fontId="7" fillId="4" borderId="6" xfId="0" applyFont="1" applyFill="1" applyBorder="1" applyAlignment="1">
      <alignment horizontal="center" vertical="center"/>
    </xf>
    <xf numFmtId="0" fontId="7" fillId="4" borderId="80" xfId="0" applyFont="1" applyFill="1" applyBorder="1" applyAlignment="1">
      <alignment horizontal="center" vertical="center" wrapText="1"/>
    </xf>
    <xf numFmtId="0" fontId="7" fillId="4" borderId="70" xfId="0" applyFont="1" applyFill="1" applyBorder="1" applyAlignment="1">
      <alignment horizontal="center" vertical="center" wrapText="1"/>
    </xf>
    <xf numFmtId="0" fontId="7" fillId="4" borderId="81" xfId="0" applyFont="1" applyFill="1" applyBorder="1" applyAlignment="1">
      <alignment horizontal="center" vertical="center" wrapText="1"/>
    </xf>
    <xf numFmtId="0" fontId="27" fillId="4" borderId="58" xfId="0" applyFont="1" applyFill="1" applyBorder="1" applyAlignment="1">
      <alignment horizontal="center" vertical="center"/>
    </xf>
    <xf numFmtId="0" fontId="27" fillId="4" borderId="59" xfId="0" applyFont="1" applyFill="1" applyBorder="1" applyAlignment="1">
      <alignment horizontal="center" vertical="center"/>
    </xf>
    <xf numFmtId="0" fontId="27" fillId="4" borderId="60" xfId="0" applyFont="1" applyFill="1" applyBorder="1" applyAlignment="1">
      <alignment horizontal="center" vertical="center"/>
    </xf>
    <xf numFmtId="0" fontId="25" fillId="3" borderId="17"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25" xfId="0" applyFont="1" applyFill="1" applyBorder="1" applyAlignment="1">
      <alignment horizontal="center" vertical="center"/>
    </xf>
    <xf numFmtId="176" fontId="25" fillId="0" borderId="52" xfId="0" applyNumberFormat="1" applyFont="1" applyBorder="1" applyAlignment="1">
      <alignment horizontal="right" vertical="center"/>
    </xf>
    <xf numFmtId="176" fontId="25" fillId="0" borderId="65" xfId="0" applyNumberFormat="1" applyFont="1" applyBorder="1" applyAlignment="1">
      <alignment horizontal="right" vertical="center"/>
    </xf>
    <xf numFmtId="176" fontId="25" fillId="3" borderId="63" xfId="0" applyNumberFormat="1" applyFont="1" applyFill="1" applyBorder="1" applyAlignment="1">
      <alignment horizontal="right" vertical="center"/>
    </xf>
    <xf numFmtId="176" fontId="25" fillId="3" borderId="0" xfId="0" applyNumberFormat="1" applyFont="1" applyFill="1" applyBorder="1" applyAlignment="1">
      <alignment horizontal="right" vertical="center"/>
    </xf>
    <xf numFmtId="176" fontId="25" fillId="3" borderId="76" xfId="0" applyNumberFormat="1" applyFont="1" applyFill="1" applyBorder="1" applyAlignment="1">
      <alignment horizontal="right" vertical="center"/>
    </xf>
    <xf numFmtId="176" fontId="7" fillId="2" borderId="59" xfId="1" applyNumberFormat="1" applyFont="1" applyFill="1" applyBorder="1" applyAlignment="1">
      <alignment horizontal="center" vertical="center"/>
    </xf>
    <xf numFmtId="14" fontId="20" fillId="2" borderId="2" xfId="0" applyNumberFormat="1" applyFont="1" applyFill="1" applyBorder="1" applyAlignment="1" applyProtection="1">
      <alignment horizontal="center" vertical="center" shrinkToFit="1"/>
      <protection locked="0"/>
    </xf>
    <xf numFmtId="14" fontId="20" fillId="2" borderId="2" xfId="0" applyNumberFormat="1" applyFont="1" applyFill="1" applyBorder="1" applyAlignment="1" applyProtection="1">
      <alignment horizontal="center" vertical="center"/>
      <protection locked="0"/>
    </xf>
    <xf numFmtId="176" fontId="20" fillId="2" borderId="2" xfId="0" applyNumberFormat="1" applyFont="1" applyFill="1" applyBorder="1" applyAlignment="1" applyProtection="1">
      <alignment horizontal="right" vertical="center"/>
      <protection locked="0"/>
    </xf>
    <xf numFmtId="0" fontId="20" fillId="2" borderId="9" xfId="0"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22</xdr:col>
      <xdr:colOff>246529</xdr:colOff>
      <xdr:row>17</xdr:row>
      <xdr:rowOff>78441</xdr:rowOff>
    </xdr:from>
    <xdr:to>
      <xdr:col>33</xdr:col>
      <xdr:colOff>18489</xdr:colOff>
      <xdr:row>38</xdr:row>
      <xdr:rowOff>66674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4764" y="3664323"/>
          <a:ext cx="3996578" cy="4392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F1:AJ56"/>
  <sheetViews>
    <sheetView showGridLines="0" tabSelected="1" view="pageBreakPreview" zoomScaleNormal="85" zoomScaleSheetLayoutView="100" zoomScalePageLayoutView="70" workbookViewId="0">
      <selection activeCell="H8" sqref="H8:I8"/>
    </sheetView>
  </sheetViews>
  <sheetFormatPr defaultColWidth="5" defaultRowHeight="13.5"/>
  <cols>
    <col min="1" max="4" width="5" style="111"/>
    <col min="5" max="5" width="0.875" style="111" customWidth="1"/>
    <col min="6" max="14" width="5" style="111"/>
    <col min="15" max="15" width="5" style="111" customWidth="1"/>
    <col min="16" max="31" width="5" style="111"/>
    <col min="32" max="32" width="5.5" style="111" bestFit="1" customWidth="1"/>
    <col min="33" max="33" width="5" style="111"/>
    <col min="34" max="34" width="0.875" style="111" customWidth="1"/>
    <col min="35" max="35" width="5" style="111"/>
    <col min="36" max="36" width="10.5" style="111" bestFit="1" customWidth="1"/>
    <col min="37" max="16384" width="5" style="111"/>
  </cols>
  <sheetData>
    <row r="1" spans="6:36" ht="5.25" customHeight="1"/>
    <row r="2" spans="6:36" ht="23.25" customHeight="1">
      <c r="F2" s="199" t="s">
        <v>55</v>
      </c>
      <c r="G2" s="199"/>
      <c r="H2" s="199"/>
      <c r="I2" s="199"/>
      <c r="J2" s="199"/>
      <c r="K2" s="199"/>
      <c r="L2" s="199"/>
      <c r="M2" s="199"/>
      <c r="N2" s="199"/>
      <c r="O2" s="199"/>
      <c r="P2" s="122"/>
      <c r="Q2" s="122"/>
      <c r="R2" s="123" t="s">
        <v>108</v>
      </c>
      <c r="S2" s="200">
        <v>2025</v>
      </c>
      <c r="T2" s="201"/>
      <c r="U2" s="202" t="str">
        <f>IF(S2&gt;0,"（令和"&amp;DBCS(S2-2018)&amp;"）年度）","年度）")</f>
        <v>（令和７）年度）</v>
      </c>
      <c r="V2" s="202"/>
      <c r="W2" s="202"/>
      <c r="X2" s="202"/>
      <c r="Y2" s="133"/>
      <c r="Z2" s="133"/>
      <c r="AA2" s="133"/>
      <c r="AB2" s="133"/>
      <c r="AC2" s="133"/>
      <c r="AD2" s="218" t="s">
        <v>148</v>
      </c>
      <c r="AE2" s="218"/>
      <c r="AF2" s="239">
        <f ca="1">TODAY()</f>
        <v>45744</v>
      </c>
      <c r="AG2" s="240"/>
    </row>
    <row r="3" spans="6:36" ht="7.5" customHeight="1" thickBot="1"/>
    <row r="4" spans="6:36" ht="16.5" customHeight="1" thickBot="1">
      <c r="F4" s="195"/>
      <c r="G4" s="196"/>
      <c r="H4" s="121" t="s">
        <v>185</v>
      </c>
      <c r="S4" s="187" t="str">
        <f>IF(S2&gt;2025,"令和７年度税率等での結果であり、実際の税率等によっては結果が異なる可能性があります。","")</f>
        <v/>
      </c>
      <c r="AG4" s="120"/>
    </row>
    <row r="5" spans="6:36" ht="7.5" customHeight="1">
      <c r="F5"/>
      <c r="G5" s="115"/>
      <c r="H5" s="115"/>
      <c r="I5" s="115"/>
      <c r="S5" s="188" t="str">
        <f>IF(S2&gt;2025,"※「税率等」とは、所得割率・均等割額・平等割額を指します。","")</f>
        <v/>
      </c>
    </row>
    <row r="6" spans="6:36" ht="18" customHeight="1">
      <c r="F6" s="114" t="s">
        <v>111</v>
      </c>
      <c r="L6" s="218" t="s">
        <v>122</v>
      </c>
      <c r="M6" s="218"/>
      <c r="N6" s="218"/>
      <c r="O6" s="218"/>
      <c r="P6" s="218"/>
      <c r="Q6" s="218"/>
      <c r="R6" s="218"/>
      <c r="S6" s="218"/>
      <c r="T6" s="218"/>
      <c r="U6" s="382">
        <v>12</v>
      </c>
      <c r="V6" s="204" t="s">
        <v>123</v>
      </c>
      <c r="W6" s="204"/>
      <c r="AJ6" s="126"/>
    </row>
    <row r="7" spans="6:36" s="112" customFormat="1" ht="27" customHeight="1">
      <c r="F7" s="205"/>
      <c r="G7" s="203"/>
      <c r="H7" s="203" t="s">
        <v>16</v>
      </c>
      <c r="I7" s="203"/>
      <c r="J7" s="203" t="s">
        <v>125</v>
      </c>
      <c r="K7" s="203"/>
      <c r="L7" s="203" t="s">
        <v>0</v>
      </c>
      <c r="M7" s="203"/>
      <c r="N7" s="203"/>
      <c r="O7" s="203" t="s">
        <v>1</v>
      </c>
      <c r="P7" s="203"/>
      <c r="Q7" s="203"/>
      <c r="R7" s="203" t="s">
        <v>2</v>
      </c>
      <c r="S7" s="203"/>
      <c r="T7" s="203"/>
      <c r="U7" s="203" t="s">
        <v>3</v>
      </c>
      <c r="V7" s="203"/>
      <c r="W7" s="203"/>
      <c r="X7" s="203" t="s">
        <v>4</v>
      </c>
      <c r="Y7" s="203"/>
      <c r="Z7" s="203"/>
      <c r="AA7" s="203" t="s">
        <v>126</v>
      </c>
      <c r="AB7" s="203"/>
      <c r="AC7" s="203" t="s">
        <v>41</v>
      </c>
      <c r="AD7" s="203"/>
      <c r="AE7" s="203" t="s">
        <v>127</v>
      </c>
      <c r="AF7" s="203"/>
      <c r="AG7" s="222"/>
    </row>
    <row r="8" spans="6:36" ht="18" customHeight="1">
      <c r="F8" s="193" t="s">
        <v>14</v>
      </c>
      <c r="G8" s="194"/>
      <c r="H8" s="379"/>
      <c r="I8" s="379"/>
      <c r="J8" s="380"/>
      <c r="K8" s="380"/>
      <c r="L8" s="381"/>
      <c r="M8" s="381"/>
      <c r="N8" s="381"/>
      <c r="O8" s="197">
        <f>IF(J8="該当",給与所得計算!K$17*0.3,給与所得計算!K$17)</f>
        <v>0</v>
      </c>
      <c r="P8" s="197"/>
      <c r="Q8" s="197"/>
      <c r="R8" s="381"/>
      <c r="S8" s="381"/>
      <c r="T8" s="381"/>
      <c r="U8" s="206">
        <f>年金所得計算!K$24</f>
        <v>0</v>
      </c>
      <c r="V8" s="206"/>
      <c r="W8" s="206"/>
      <c r="X8" s="381"/>
      <c r="Y8" s="381"/>
      <c r="Z8" s="381"/>
      <c r="AA8" s="206">
        <f>給与所得計算!K$24</f>
        <v>0</v>
      </c>
      <c r="AB8" s="206"/>
      <c r="AC8" s="206">
        <f>IF(H8&gt;0,基礎控除計算!G$10,0)</f>
        <v>0</v>
      </c>
      <c r="AD8" s="206"/>
      <c r="AE8" s="206">
        <f t="shared" ref="AE8:AE17" si="0">IF(O8+U8+X8-AA8-AC8&lt;0,0,O8+U8+X8-AA8-AC8)</f>
        <v>0</v>
      </c>
      <c r="AF8" s="206"/>
      <c r="AG8" s="215"/>
      <c r="AJ8" s="117"/>
    </row>
    <row r="9" spans="6:36" ht="18" customHeight="1">
      <c r="F9" s="193" t="s">
        <v>15</v>
      </c>
      <c r="G9" s="194"/>
      <c r="H9" s="379"/>
      <c r="I9" s="379"/>
      <c r="J9" s="380"/>
      <c r="K9" s="380"/>
      <c r="L9" s="381"/>
      <c r="M9" s="381"/>
      <c r="N9" s="381"/>
      <c r="O9" s="197">
        <f>IF(J9="該当",給与所得計算!L$17*0.3,給与所得計算!L$17)</f>
        <v>0</v>
      </c>
      <c r="P9" s="197"/>
      <c r="Q9" s="197"/>
      <c r="R9" s="381"/>
      <c r="S9" s="381"/>
      <c r="T9" s="381"/>
      <c r="U9" s="206">
        <f>年金所得計算!L$24</f>
        <v>0</v>
      </c>
      <c r="V9" s="206"/>
      <c r="W9" s="206"/>
      <c r="X9" s="381"/>
      <c r="Y9" s="381"/>
      <c r="Z9" s="381"/>
      <c r="AA9" s="206">
        <f>給与所得計算!L$24</f>
        <v>0</v>
      </c>
      <c r="AB9" s="206"/>
      <c r="AC9" s="206">
        <f>IF(H9&gt;0,基礎控除計算!H$10,0)</f>
        <v>0</v>
      </c>
      <c r="AD9" s="206"/>
      <c r="AE9" s="206">
        <f t="shared" si="0"/>
        <v>0</v>
      </c>
      <c r="AF9" s="206"/>
      <c r="AG9" s="215"/>
      <c r="AJ9" s="117"/>
    </row>
    <row r="10" spans="6:36" ht="18" customHeight="1">
      <c r="F10" s="193" t="s">
        <v>21</v>
      </c>
      <c r="G10" s="194"/>
      <c r="H10" s="379"/>
      <c r="I10" s="379"/>
      <c r="J10" s="380"/>
      <c r="K10" s="380"/>
      <c r="L10" s="381"/>
      <c r="M10" s="381"/>
      <c r="N10" s="381"/>
      <c r="O10" s="197">
        <f>IF(J10="該当",給与所得計算!M$17*0.3,給与所得計算!M$17)</f>
        <v>0</v>
      </c>
      <c r="P10" s="197"/>
      <c r="Q10" s="197"/>
      <c r="R10" s="381"/>
      <c r="S10" s="381"/>
      <c r="T10" s="381"/>
      <c r="U10" s="206">
        <f>年金所得計算!M$24</f>
        <v>0</v>
      </c>
      <c r="V10" s="206"/>
      <c r="W10" s="206"/>
      <c r="X10" s="381"/>
      <c r="Y10" s="381"/>
      <c r="Z10" s="381"/>
      <c r="AA10" s="206">
        <f>給与所得計算!M$24</f>
        <v>0</v>
      </c>
      <c r="AB10" s="206"/>
      <c r="AC10" s="206">
        <f>IF(H10&gt;0,基礎控除計算!I$10,0)</f>
        <v>0</v>
      </c>
      <c r="AD10" s="206"/>
      <c r="AE10" s="206">
        <f t="shared" si="0"/>
        <v>0</v>
      </c>
      <c r="AF10" s="206"/>
      <c r="AG10" s="215"/>
      <c r="AJ10" s="117"/>
    </row>
    <row r="11" spans="6:36" ht="18" customHeight="1">
      <c r="F11" s="193" t="s">
        <v>22</v>
      </c>
      <c r="G11" s="194"/>
      <c r="H11" s="379"/>
      <c r="I11" s="379"/>
      <c r="J11" s="380"/>
      <c r="K11" s="380"/>
      <c r="L11" s="381"/>
      <c r="M11" s="381"/>
      <c r="N11" s="381"/>
      <c r="O11" s="197">
        <f>IF(J11="該当",給与所得計算!N$17*0.3,給与所得計算!N$17)</f>
        <v>0</v>
      </c>
      <c r="P11" s="197"/>
      <c r="Q11" s="197"/>
      <c r="R11" s="381"/>
      <c r="S11" s="381"/>
      <c r="T11" s="381"/>
      <c r="U11" s="206">
        <f>年金所得計算!N$24</f>
        <v>0</v>
      </c>
      <c r="V11" s="206"/>
      <c r="W11" s="206"/>
      <c r="X11" s="381"/>
      <c r="Y11" s="381"/>
      <c r="Z11" s="381"/>
      <c r="AA11" s="206">
        <f>給与所得計算!N$24</f>
        <v>0</v>
      </c>
      <c r="AB11" s="206"/>
      <c r="AC11" s="206">
        <f>IF(H11&gt;0,基礎控除計算!J$10,0)</f>
        <v>0</v>
      </c>
      <c r="AD11" s="206"/>
      <c r="AE11" s="206">
        <f t="shared" si="0"/>
        <v>0</v>
      </c>
      <c r="AF11" s="206"/>
      <c r="AG11" s="215"/>
      <c r="AJ11" s="117"/>
    </row>
    <row r="12" spans="6:36" ht="18" customHeight="1">
      <c r="F12" s="193" t="s">
        <v>23</v>
      </c>
      <c r="G12" s="194"/>
      <c r="H12" s="379"/>
      <c r="I12" s="379"/>
      <c r="J12" s="380"/>
      <c r="K12" s="380"/>
      <c r="L12" s="381"/>
      <c r="M12" s="381"/>
      <c r="N12" s="381"/>
      <c r="O12" s="197">
        <f>IF(J12="該当",給与所得計算!O$17*0.3,給与所得計算!O$17)</f>
        <v>0</v>
      </c>
      <c r="P12" s="197"/>
      <c r="Q12" s="197"/>
      <c r="R12" s="381"/>
      <c r="S12" s="381"/>
      <c r="T12" s="381"/>
      <c r="U12" s="206">
        <f>年金所得計算!O$24</f>
        <v>0</v>
      </c>
      <c r="V12" s="206"/>
      <c r="W12" s="206"/>
      <c r="X12" s="381"/>
      <c r="Y12" s="381"/>
      <c r="Z12" s="381"/>
      <c r="AA12" s="206">
        <f>給与所得計算!O$24</f>
        <v>0</v>
      </c>
      <c r="AB12" s="206"/>
      <c r="AC12" s="206">
        <f>IF(H12&gt;0,基礎控除計算!K$10,0)</f>
        <v>0</v>
      </c>
      <c r="AD12" s="206"/>
      <c r="AE12" s="206">
        <f t="shared" si="0"/>
        <v>0</v>
      </c>
      <c r="AF12" s="206"/>
      <c r="AG12" s="215"/>
      <c r="AJ12" s="117"/>
    </row>
    <row r="13" spans="6:36" ht="18" customHeight="1">
      <c r="F13" s="193" t="s">
        <v>69</v>
      </c>
      <c r="G13" s="194"/>
      <c r="H13" s="379"/>
      <c r="I13" s="379"/>
      <c r="J13" s="380"/>
      <c r="K13" s="380"/>
      <c r="L13" s="381"/>
      <c r="M13" s="381"/>
      <c r="N13" s="381"/>
      <c r="O13" s="197">
        <f>IF(J13="該当",給与所得計算!P$17*0.3,給与所得計算!P$17)</f>
        <v>0</v>
      </c>
      <c r="P13" s="197"/>
      <c r="Q13" s="197"/>
      <c r="R13" s="381"/>
      <c r="S13" s="381"/>
      <c r="T13" s="381"/>
      <c r="U13" s="206">
        <f>年金所得計算!P$24</f>
        <v>0</v>
      </c>
      <c r="V13" s="206"/>
      <c r="W13" s="206"/>
      <c r="X13" s="381"/>
      <c r="Y13" s="381"/>
      <c r="Z13" s="381"/>
      <c r="AA13" s="206">
        <f>給与所得計算!P$24</f>
        <v>0</v>
      </c>
      <c r="AB13" s="206"/>
      <c r="AC13" s="206">
        <f>IF(H13&gt;0,基礎控除計算!L$10,0)</f>
        <v>0</v>
      </c>
      <c r="AD13" s="206"/>
      <c r="AE13" s="206">
        <f t="shared" si="0"/>
        <v>0</v>
      </c>
      <c r="AF13" s="206"/>
      <c r="AG13" s="215"/>
      <c r="AJ13" s="117"/>
    </row>
    <row r="14" spans="6:36" ht="18" customHeight="1">
      <c r="F14" s="193" t="s">
        <v>70</v>
      </c>
      <c r="G14" s="194"/>
      <c r="H14" s="379"/>
      <c r="I14" s="379"/>
      <c r="J14" s="380"/>
      <c r="K14" s="380"/>
      <c r="L14" s="381"/>
      <c r="M14" s="381"/>
      <c r="N14" s="381"/>
      <c r="O14" s="197">
        <f>IF(J14="該当",給与所得計算!Q$17*0.3,給与所得計算!Q$17)</f>
        <v>0</v>
      </c>
      <c r="P14" s="197"/>
      <c r="Q14" s="197"/>
      <c r="R14" s="381"/>
      <c r="S14" s="381"/>
      <c r="T14" s="381"/>
      <c r="U14" s="206">
        <f>年金所得計算!Q$24</f>
        <v>0</v>
      </c>
      <c r="V14" s="206"/>
      <c r="W14" s="206"/>
      <c r="X14" s="381"/>
      <c r="Y14" s="381"/>
      <c r="Z14" s="381"/>
      <c r="AA14" s="206">
        <f>給与所得計算!Q$24</f>
        <v>0</v>
      </c>
      <c r="AB14" s="206"/>
      <c r="AC14" s="206">
        <f>IF(H14&gt;0,基礎控除計算!M$10,0)</f>
        <v>0</v>
      </c>
      <c r="AD14" s="206"/>
      <c r="AE14" s="206">
        <f t="shared" si="0"/>
        <v>0</v>
      </c>
      <c r="AF14" s="206"/>
      <c r="AG14" s="215"/>
      <c r="AJ14" s="117"/>
    </row>
    <row r="15" spans="6:36" ht="18" customHeight="1">
      <c r="F15" s="193" t="s">
        <v>71</v>
      </c>
      <c r="G15" s="194"/>
      <c r="H15" s="379"/>
      <c r="I15" s="379"/>
      <c r="J15" s="380"/>
      <c r="K15" s="380"/>
      <c r="L15" s="381"/>
      <c r="M15" s="381"/>
      <c r="N15" s="381"/>
      <c r="O15" s="197">
        <f>IF(J15="該当",給与所得計算!R$17*0.3,給与所得計算!R$17)</f>
        <v>0</v>
      </c>
      <c r="P15" s="197"/>
      <c r="Q15" s="197"/>
      <c r="R15" s="381"/>
      <c r="S15" s="381"/>
      <c r="T15" s="381"/>
      <c r="U15" s="206">
        <f>年金所得計算!R$24</f>
        <v>0</v>
      </c>
      <c r="V15" s="206"/>
      <c r="W15" s="206"/>
      <c r="X15" s="381"/>
      <c r="Y15" s="381"/>
      <c r="Z15" s="381"/>
      <c r="AA15" s="206">
        <f>給与所得計算!R$24</f>
        <v>0</v>
      </c>
      <c r="AB15" s="206"/>
      <c r="AC15" s="206">
        <f>IF(H15&gt;0,基礎控除計算!N$10,0)</f>
        <v>0</v>
      </c>
      <c r="AD15" s="206"/>
      <c r="AE15" s="206">
        <f t="shared" si="0"/>
        <v>0</v>
      </c>
      <c r="AF15" s="206"/>
      <c r="AG15" s="215"/>
      <c r="AJ15" s="117"/>
    </row>
    <row r="16" spans="6:36" ht="18" customHeight="1">
      <c r="F16" s="193" t="s">
        <v>72</v>
      </c>
      <c r="G16" s="194"/>
      <c r="H16" s="379"/>
      <c r="I16" s="379"/>
      <c r="J16" s="380"/>
      <c r="K16" s="380"/>
      <c r="L16" s="381"/>
      <c r="M16" s="381"/>
      <c r="N16" s="381"/>
      <c r="O16" s="197">
        <f>IF(J16="該当",給与所得計算!S$17*0.3,給与所得計算!S$17)</f>
        <v>0</v>
      </c>
      <c r="P16" s="197"/>
      <c r="Q16" s="197"/>
      <c r="R16" s="381"/>
      <c r="S16" s="381"/>
      <c r="T16" s="381"/>
      <c r="U16" s="206">
        <f>年金所得計算!S$24</f>
        <v>0</v>
      </c>
      <c r="V16" s="206"/>
      <c r="W16" s="206"/>
      <c r="X16" s="381"/>
      <c r="Y16" s="381"/>
      <c r="Z16" s="381"/>
      <c r="AA16" s="206">
        <f>給与所得計算!S$24</f>
        <v>0</v>
      </c>
      <c r="AB16" s="206"/>
      <c r="AC16" s="206">
        <f>IF(H16&gt;0,基礎控除計算!O$10,0)</f>
        <v>0</v>
      </c>
      <c r="AD16" s="206"/>
      <c r="AE16" s="206">
        <f t="shared" si="0"/>
        <v>0</v>
      </c>
      <c r="AF16" s="206"/>
      <c r="AG16" s="215"/>
      <c r="AJ16" s="117"/>
    </row>
    <row r="17" spans="6:36" ht="18" customHeight="1">
      <c r="F17" s="193" t="s">
        <v>73</v>
      </c>
      <c r="G17" s="194"/>
      <c r="H17" s="379"/>
      <c r="I17" s="379"/>
      <c r="J17" s="380"/>
      <c r="K17" s="380"/>
      <c r="L17" s="381"/>
      <c r="M17" s="381"/>
      <c r="N17" s="381"/>
      <c r="O17" s="197">
        <f>IF(J17="該当",給与所得計算!T$17*0.3,給与所得計算!T$17)</f>
        <v>0</v>
      </c>
      <c r="P17" s="197"/>
      <c r="Q17" s="197"/>
      <c r="R17" s="381"/>
      <c r="S17" s="381"/>
      <c r="T17" s="381"/>
      <c r="U17" s="206">
        <f>年金所得計算!T$24</f>
        <v>0</v>
      </c>
      <c r="V17" s="206"/>
      <c r="W17" s="206"/>
      <c r="X17" s="381"/>
      <c r="Y17" s="381"/>
      <c r="Z17" s="381"/>
      <c r="AA17" s="206">
        <f>給与所得計算!T$24</f>
        <v>0</v>
      </c>
      <c r="AB17" s="206"/>
      <c r="AC17" s="206">
        <f>IF(H17&gt;0,基礎控除計算!P$10,0)</f>
        <v>0</v>
      </c>
      <c r="AD17" s="206"/>
      <c r="AE17" s="206">
        <f t="shared" si="0"/>
        <v>0</v>
      </c>
      <c r="AF17" s="206"/>
      <c r="AG17" s="215"/>
      <c r="AJ17" s="117"/>
    </row>
    <row r="18" spans="6:36" ht="7.5" customHeight="1"/>
    <row r="19" spans="6:36" ht="17.25" customHeight="1">
      <c r="F19" s="114" t="s">
        <v>130</v>
      </c>
      <c r="Q19" s="114"/>
      <c r="AA19"/>
      <c r="AB19"/>
      <c r="AC19"/>
      <c r="AD19"/>
      <c r="AE19"/>
      <c r="AF19"/>
      <c r="AG19"/>
    </row>
    <row r="20" spans="6:36" ht="16.5" customHeight="1">
      <c r="F20" s="226"/>
      <c r="G20" s="227"/>
      <c r="H20" s="194" t="s">
        <v>48</v>
      </c>
      <c r="I20" s="194"/>
      <c r="J20" s="194" t="s">
        <v>49</v>
      </c>
      <c r="K20" s="194"/>
      <c r="L20" s="194" t="s">
        <v>50</v>
      </c>
      <c r="M20" s="223"/>
      <c r="Q20" s="182"/>
      <c r="R20" s="182"/>
      <c r="S20" s="182"/>
      <c r="T20" s="183"/>
      <c r="U20" s="182"/>
      <c r="V20" s="182"/>
      <c r="W20" s="184"/>
      <c r="X20" s="184"/>
      <c r="Y20" s="184"/>
      <c r="Z20" s="185"/>
      <c r="AA20" s="184"/>
      <c r="AB20" s="184"/>
      <c r="AC20" s="184"/>
      <c r="AE20"/>
      <c r="AF20"/>
      <c r="AG20"/>
    </row>
    <row r="21" spans="6:36" ht="16.5" customHeight="1">
      <c r="F21" s="193" t="s">
        <v>47</v>
      </c>
      <c r="G21" s="194"/>
      <c r="H21" s="219">
        <f>税額計算!F4</f>
        <v>7.0000000000000007E-2</v>
      </c>
      <c r="I21" s="219"/>
      <c r="J21" s="219">
        <f>税額計算!G4</f>
        <v>3.1E-2</v>
      </c>
      <c r="K21" s="219"/>
      <c r="L21" s="219">
        <f>税額計算!H4</f>
        <v>2.5000000000000001E-2</v>
      </c>
      <c r="M21" s="228"/>
      <c r="Q21" s="183"/>
      <c r="R21" s="183"/>
      <c r="S21" s="183"/>
      <c r="T21" s="183"/>
      <c r="U21" s="182"/>
      <c r="V21" s="182"/>
      <c r="W21" s="186"/>
      <c r="X21" s="186"/>
      <c r="Y21" s="186"/>
      <c r="Z21" s="185"/>
      <c r="AA21" s="186"/>
      <c r="AB21" s="186"/>
      <c r="AC21" s="186"/>
      <c r="AD21"/>
      <c r="AE21"/>
      <c r="AF21"/>
      <c r="AG21"/>
    </row>
    <row r="22" spans="6:36" ht="16.5" customHeight="1">
      <c r="F22" s="193" t="s">
        <v>51</v>
      </c>
      <c r="G22" s="194"/>
      <c r="H22" s="198">
        <f>税額計算!F5</f>
        <v>29000</v>
      </c>
      <c r="I22" s="198"/>
      <c r="J22" s="198">
        <f>税額計算!G5</f>
        <v>12600</v>
      </c>
      <c r="K22" s="198"/>
      <c r="L22" s="198">
        <f>税額計算!H5</f>
        <v>12200</v>
      </c>
      <c r="M22" s="217"/>
      <c r="Q22" s="183"/>
      <c r="R22" s="183"/>
      <c r="S22" s="183"/>
      <c r="T22" s="183"/>
      <c r="U22" s="182"/>
      <c r="V22" s="182"/>
      <c r="W22" s="186"/>
      <c r="X22" s="186"/>
      <c r="Y22" s="186"/>
      <c r="Z22" s="185"/>
      <c r="AA22" s="186"/>
      <c r="AB22" s="186"/>
      <c r="AC22" s="186"/>
      <c r="AD22"/>
      <c r="AE22"/>
      <c r="AF22"/>
      <c r="AG22"/>
    </row>
    <row r="23" spans="6:36" ht="16.5" customHeight="1">
      <c r="F23" s="193" t="s">
        <v>52</v>
      </c>
      <c r="G23" s="194"/>
      <c r="H23" s="198">
        <f>税額計算!F6</f>
        <v>19400</v>
      </c>
      <c r="I23" s="198"/>
      <c r="J23" s="198">
        <f>税額計算!G6</f>
        <v>8400</v>
      </c>
      <c r="K23" s="198"/>
      <c r="L23" s="198">
        <f>税額計算!H6</f>
        <v>6200</v>
      </c>
      <c r="M23" s="217"/>
      <c r="Q23" s="183"/>
      <c r="R23" s="183"/>
      <c r="S23" s="183"/>
      <c r="T23" s="183"/>
      <c r="U23" s="182"/>
      <c r="V23" s="182"/>
      <c r="W23" s="186"/>
      <c r="X23" s="186"/>
      <c r="Y23" s="186"/>
      <c r="Z23" s="185"/>
      <c r="AA23" s="186"/>
      <c r="AB23" s="186"/>
      <c r="AC23" s="186"/>
      <c r="AD23"/>
      <c r="AE23"/>
      <c r="AF23"/>
      <c r="AG23"/>
    </row>
    <row r="24" spans="6:36" ht="16.5" customHeight="1">
      <c r="F24" s="193" t="s">
        <v>53</v>
      </c>
      <c r="G24" s="194"/>
      <c r="H24" s="198">
        <f>税額計算!F7</f>
        <v>660000</v>
      </c>
      <c r="I24" s="198"/>
      <c r="J24" s="198">
        <f>税額計算!G7</f>
        <v>260000</v>
      </c>
      <c r="K24" s="198"/>
      <c r="L24" s="198">
        <f>税額計算!H7</f>
        <v>170000</v>
      </c>
      <c r="M24" s="217"/>
      <c r="O24" s="116"/>
      <c r="Q24"/>
      <c r="R24"/>
      <c r="S24"/>
      <c r="T24"/>
      <c r="U24" s="140"/>
      <c r="V24" s="140"/>
      <c r="X24"/>
      <c r="Y24"/>
      <c r="Z24"/>
      <c r="AA24"/>
      <c r="AB24"/>
      <c r="AC24"/>
      <c r="AD24"/>
      <c r="AE24"/>
      <c r="AF24"/>
      <c r="AG24"/>
    </row>
    <row r="25" spans="6:36" ht="7.5" customHeight="1">
      <c r="F25" s="119"/>
      <c r="G25" s="119"/>
      <c r="H25" s="118"/>
      <c r="I25" s="118"/>
      <c r="J25" s="118"/>
      <c r="K25" s="118"/>
      <c r="L25" s="118"/>
      <c r="M25" s="118"/>
      <c r="O25" s="116"/>
      <c r="Q25"/>
      <c r="R25"/>
      <c r="S25"/>
      <c r="T25"/>
      <c r="U25" s="140"/>
      <c r="V25" s="140"/>
      <c r="X25"/>
      <c r="Y25"/>
      <c r="Z25"/>
      <c r="AA25"/>
      <c r="AB25"/>
      <c r="AC25"/>
      <c r="AD25"/>
      <c r="AE25"/>
      <c r="AF25"/>
      <c r="AG25"/>
    </row>
    <row r="26" spans="6:36" ht="18" customHeight="1">
      <c r="F26" s="114" t="s">
        <v>112</v>
      </c>
      <c r="I26" s="123" t="s">
        <v>128</v>
      </c>
      <c r="J26" s="124">
        <f>U6</f>
        <v>12</v>
      </c>
      <c r="K26" s="122" t="s">
        <v>129</v>
      </c>
      <c r="L26" s="122"/>
      <c r="Q26" s="224" t="s">
        <v>156</v>
      </c>
      <c r="R26" s="224"/>
      <c r="S26" s="224"/>
      <c r="T26" s="225"/>
      <c r="U26" s="382">
        <v>4</v>
      </c>
      <c r="V26" s="122" t="s">
        <v>124</v>
      </c>
      <c r="X26"/>
      <c r="Y26"/>
      <c r="Z26"/>
      <c r="AA26"/>
      <c r="AB26"/>
      <c r="AC26"/>
      <c r="AD26"/>
      <c r="AE26"/>
      <c r="AF26"/>
      <c r="AG26"/>
    </row>
    <row r="27" spans="6:36" ht="18" customHeight="1">
      <c r="F27" s="205"/>
      <c r="G27" s="203"/>
      <c r="H27" s="203" t="s">
        <v>96</v>
      </c>
      <c r="I27" s="203"/>
      <c r="J27" s="203" t="s">
        <v>97</v>
      </c>
      <c r="K27" s="203"/>
      <c r="L27" s="203" t="s">
        <v>98</v>
      </c>
      <c r="M27" s="203"/>
      <c r="N27" s="203" t="s">
        <v>99</v>
      </c>
      <c r="O27" s="222"/>
      <c r="Q27" s="193"/>
      <c r="R27" s="194"/>
      <c r="S27" s="194" t="s">
        <v>113</v>
      </c>
      <c r="T27" s="232"/>
      <c r="U27" s="194" t="s">
        <v>110</v>
      </c>
      <c r="V27" s="223"/>
      <c r="X27"/>
      <c r="Y27"/>
      <c r="Z27"/>
      <c r="AA27"/>
      <c r="AB27"/>
      <c r="AC27"/>
      <c r="AD27"/>
      <c r="AE27"/>
      <c r="AF27"/>
      <c r="AG27"/>
    </row>
    <row r="28" spans="6:36" ht="18" customHeight="1">
      <c r="F28" s="193" t="s">
        <v>14</v>
      </c>
      <c r="G28" s="194"/>
      <c r="H28" s="206">
        <f>IFERROR(税額計算!R14,0)</f>
        <v>0</v>
      </c>
      <c r="I28" s="206"/>
      <c r="J28" s="206">
        <f>IFERROR(税額計算!R27,0)</f>
        <v>0</v>
      </c>
      <c r="K28" s="206"/>
      <c r="L28" s="206">
        <f>IFERROR(税額計算!S40,0)</f>
        <v>0</v>
      </c>
      <c r="M28" s="206"/>
      <c r="N28" s="206">
        <f>SUM(H28:M28)</f>
        <v>0</v>
      </c>
      <c r="O28" s="215"/>
      <c r="Q28" s="193" t="s">
        <v>100</v>
      </c>
      <c r="R28" s="194"/>
      <c r="S28" s="233" t="s">
        <v>114</v>
      </c>
      <c r="T28" s="234"/>
      <c r="U28" s="206">
        <f>VLOOKUP(U$26,振分期別表!B$5:K$16,2,FALSE)</f>
        <v>0</v>
      </c>
      <c r="V28" s="215"/>
      <c r="X28"/>
      <c r="Y28"/>
      <c r="Z28"/>
      <c r="AA28"/>
      <c r="AB28"/>
      <c r="AC28"/>
      <c r="AD28"/>
      <c r="AE28"/>
      <c r="AF28"/>
      <c r="AG28"/>
    </row>
    <row r="29" spans="6:36" ht="18" customHeight="1">
      <c r="F29" s="193" t="s">
        <v>15</v>
      </c>
      <c r="G29" s="194"/>
      <c r="H29" s="206">
        <f>IFERROR(税額計算!R15,0)</f>
        <v>0</v>
      </c>
      <c r="I29" s="206"/>
      <c r="J29" s="206">
        <f>IFERROR(税額計算!R28,0)</f>
        <v>0</v>
      </c>
      <c r="K29" s="206"/>
      <c r="L29" s="206">
        <f>IFERROR(税額計算!S41,0)</f>
        <v>0</v>
      </c>
      <c r="M29" s="206"/>
      <c r="N29" s="206">
        <f t="shared" ref="N29:N37" si="1">SUM(H29:M29)</f>
        <v>0</v>
      </c>
      <c r="O29" s="215"/>
      <c r="Q29" s="193" t="s">
        <v>101</v>
      </c>
      <c r="R29" s="194"/>
      <c r="S29" s="233" t="s">
        <v>115</v>
      </c>
      <c r="T29" s="234"/>
      <c r="U29" s="206">
        <f>VLOOKUP(U$26,振分期別表!B$5:K$16,3,FALSE)</f>
        <v>0</v>
      </c>
      <c r="V29" s="215"/>
      <c r="X29"/>
      <c r="Y29"/>
      <c r="Z29"/>
      <c r="AA29"/>
      <c r="AB29"/>
      <c r="AC29"/>
      <c r="AD29"/>
      <c r="AE29"/>
      <c r="AF29"/>
      <c r="AG29"/>
    </row>
    <row r="30" spans="6:36" ht="18" customHeight="1">
      <c r="F30" s="193" t="s">
        <v>21</v>
      </c>
      <c r="G30" s="194"/>
      <c r="H30" s="206">
        <f>IFERROR(税額計算!R16,0)</f>
        <v>0</v>
      </c>
      <c r="I30" s="206"/>
      <c r="J30" s="206">
        <f>IFERROR(税額計算!R29,0)</f>
        <v>0</v>
      </c>
      <c r="K30" s="206"/>
      <c r="L30" s="206">
        <f>IFERROR(税額計算!S42,0)</f>
        <v>0</v>
      </c>
      <c r="M30" s="206"/>
      <c r="N30" s="206">
        <f t="shared" si="1"/>
        <v>0</v>
      </c>
      <c r="O30" s="215"/>
      <c r="Q30" s="193" t="s">
        <v>102</v>
      </c>
      <c r="R30" s="194"/>
      <c r="S30" s="233" t="s">
        <v>116</v>
      </c>
      <c r="T30" s="234"/>
      <c r="U30" s="206">
        <f>VLOOKUP(U$26,振分期別表!B$5:K$16,4,FALSE)</f>
        <v>0</v>
      </c>
      <c r="V30" s="215"/>
      <c r="X30"/>
      <c r="Y30"/>
      <c r="Z30"/>
      <c r="AA30"/>
      <c r="AB30"/>
      <c r="AC30"/>
      <c r="AD30"/>
      <c r="AE30"/>
      <c r="AF30"/>
      <c r="AG30"/>
    </row>
    <row r="31" spans="6:36" ht="18" customHeight="1">
      <c r="F31" s="193" t="s">
        <v>22</v>
      </c>
      <c r="G31" s="194"/>
      <c r="H31" s="206">
        <f>IFERROR(税額計算!R17,0)</f>
        <v>0</v>
      </c>
      <c r="I31" s="206"/>
      <c r="J31" s="206">
        <f>IFERROR(税額計算!R30,0)</f>
        <v>0</v>
      </c>
      <c r="K31" s="206"/>
      <c r="L31" s="206">
        <f>IFERROR(税額計算!S43,0)</f>
        <v>0</v>
      </c>
      <c r="M31" s="206"/>
      <c r="N31" s="206">
        <f t="shared" si="1"/>
        <v>0</v>
      </c>
      <c r="O31" s="215"/>
      <c r="Q31" s="193" t="s">
        <v>103</v>
      </c>
      <c r="R31" s="194"/>
      <c r="S31" s="233" t="s">
        <v>117</v>
      </c>
      <c r="T31" s="234"/>
      <c r="U31" s="206">
        <f>VLOOKUP(U$26,振分期別表!B$5:K$16,5,FALSE)</f>
        <v>0</v>
      </c>
      <c r="V31" s="215"/>
      <c r="X31"/>
      <c r="Y31"/>
      <c r="Z31"/>
      <c r="AA31"/>
      <c r="AB31"/>
      <c r="AC31"/>
      <c r="AD31"/>
      <c r="AE31"/>
      <c r="AF31"/>
      <c r="AG31"/>
    </row>
    <row r="32" spans="6:36" ht="18" customHeight="1">
      <c r="F32" s="193" t="s">
        <v>23</v>
      </c>
      <c r="G32" s="194"/>
      <c r="H32" s="206">
        <f>IFERROR(税額計算!R18,0)</f>
        <v>0</v>
      </c>
      <c r="I32" s="206"/>
      <c r="J32" s="206">
        <f>IFERROR(税額計算!R31,0)</f>
        <v>0</v>
      </c>
      <c r="K32" s="206"/>
      <c r="L32" s="206">
        <f>IFERROR(税額計算!S44,0)</f>
        <v>0</v>
      </c>
      <c r="M32" s="206"/>
      <c r="N32" s="206">
        <f t="shared" si="1"/>
        <v>0</v>
      </c>
      <c r="O32" s="215"/>
      <c r="Q32" s="193" t="s">
        <v>104</v>
      </c>
      <c r="R32" s="194"/>
      <c r="S32" s="233" t="s">
        <v>118</v>
      </c>
      <c r="T32" s="234"/>
      <c r="U32" s="206">
        <f>VLOOKUP(U$26,振分期別表!B$5:K$16,6,FALSE)</f>
        <v>0</v>
      </c>
      <c r="V32" s="215"/>
      <c r="X32"/>
      <c r="Y32"/>
      <c r="Z32"/>
      <c r="AA32"/>
      <c r="AB32"/>
      <c r="AC32"/>
      <c r="AD32"/>
      <c r="AE32"/>
      <c r="AF32"/>
      <c r="AG32"/>
    </row>
    <row r="33" spans="6:33" ht="18" customHeight="1">
      <c r="F33" s="193" t="s">
        <v>69</v>
      </c>
      <c r="G33" s="194"/>
      <c r="H33" s="206">
        <f>IFERROR(税額計算!R19,0)</f>
        <v>0</v>
      </c>
      <c r="I33" s="206"/>
      <c r="J33" s="206">
        <f>IFERROR(税額計算!R32,0)</f>
        <v>0</v>
      </c>
      <c r="K33" s="206"/>
      <c r="L33" s="206">
        <f>IFERROR(税額計算!S45,0)</f>
        <v>0</v>
      </c>
      <c r="M33" s="206"/>
      <c r="N33" s="206">
        <f t="shared" si="1"/>
        <v>0</v>
      </c>
      <c r="O33" s="215"/>
      <c r="Q33" s="193" t="s">
        <v>105</v>
      </c>
      <c r="R33" s="194"/>
      <c r="S33" s="233" t="s">
        <v>119</v>
      </c>
      <c r="T33" s="234"/>
      <c r="U33" s="206">
        <f>VLOOKUP(U$26,振分期別表!B$5:K$16,7,FALSE)</f>
        <v>0</v>
      </c>
      <c r="V33" s="215"/>
      <c r="X33"/>
      <c r="Y33"/>
      <c r="Z33"/>
      <c r="AA33"/>
      <c r="AB33"/>
      <c r="AC33"/>
      <c r="AD33"/>
      <c r="AE33"/>
      <c r="AF33"/>
      <c r="AG33"/>
    </row>
    <row r="34" spans="6:33" ht="18" customHeight="1">
      <c r="F34" s="193" t="s">
        <v>70</v>
      </c>
      <c r="G34" s="194"/>
      <c r="H34" s="206">
        <f>IFERROR(税額計算!R20,0)</f>
        <v>0</v>
      </c>
      <c r="I34" s="206"/>
      <c r="J34" s="206">
        <f>IFERROR(税額計算!R33,0)</f>
        <v>0</v>
      </c>
      <c r="K34" s="206"/>
      <c r="L34" s="206">
        <f>IFERROR(税額計算!S46,0)</f>
        <v>0</v>
      </c>
      <c r="M34" s="206"/>
      <c r="N34" s="206">
        <f t="shared" si="1"/>
        <v>0</v>
      </c>
      <c r="O34" s="215"/>
      <c r="Q34" s="193" t="s">
        <v>106</v>
      </c>
      <c r="R34" s="194"/>
      <c r="S34" s="233" t="s">
        <v>120</v>
      </c>
      <c r="T34" s="234"/>
      <c r="U34" s="206">
        <f>VLOOKUP(U$26,振分期別表!B$5:K$16,8,FALSE)</f>
        <v>0</v>
      </c>
      <c r="V34" s="215"/>
      <c r="X34"/>
      <c r="Y34"/>
      <c r="Z34"/>
      <c r="AA34"/>
      <c r="AB34"/>
      <c r="AC34"/>
      <c r="AD34"/>
      <c r="AE34"/>
      <c r="AF34"/>
      <c r="AG34"/>
    </row>
    <row r="35" spans="6:33" ht="18" customHeight="1" thickBot="1">
      <c r="F35" s="193" t="s">
        <v>71</v>
      </c>
      <c r="G35" s="194"/>
      <c r="H35" s="206">
        <f>IFERROR(税額計算!R21,0)</f>
        <v>0</v>
      </c>
      <c r="I35" s="206"/>
      <c r="J35" s="206">
        <f>IFERROR(税額計算!R34,0)</f>
        <v>0</v>
      </c>
      <c r="K35" s="206"/>
      <c r="L35" s="206">
        <f>IFERROR(税額計算!S47,0)</f>
        <v>0</v>
      </c>
      <c r="M35" s="206"/>
      <c r="N35" s="206">
        <f t="shared" si="1"/>
        <v>0</v>
      </c>
      <c r="O35" s="215"/>
      <c r="Q35" s="213" t="s">
        <v>107</v>
      </c>
      <c r="R35" s="214"/>
      <c r="S35" s="229" t="s">
        <v>121</v>
      </c>
      <c r="T35" s="230"/>
      <c r="U35" s="235">
        <f>VLOOKUP(U$26,振分期別表!B$5:K$16,9,FALSE)</f>
        <v>0</v>
      </c>
      <c r="V35" s="236"/>
      <c r="X35"/>
      <c r="Y35"/>
      <c r="Z35"/>
      <c r="AA35"/>
      <c r="AB35"/>
      <c r="AC35"/>
      <c r="AD35"/>
      <c r="AE35"/>
      <c r="AF35"/>
      <c r="AG35"/>
    </row>
    <row r="36" spans="6:33" ht="18" customHeight="1">
      <c r="F36" s="193" t="s">
        <v>72</v>
      </c>
      <c r="G36" s="194"/>
      <c r="H36" s="206">
        <f>IFERROR(税額計算!R22,0)</f>
        <v>0</v>
      </c>
      <c r="I36" s="206"/>
      <c r="J36" s="206">
        <f>IFERROR(税額計算!R35,0)</f>
        <v>0</v>
      </c>
      <c r="K36" s="206"/>
      <c r="L36" s="206">
        <f>IFERROR(税額計算!S48,0)</f>
        <v>0</v>
      </c>
      <c r="M36" s="206"/>
      <c r="N36" s="206">
        <f t="shared" si="1"/>
        <v>0</v>
      </c>
      <c r="O36" s="215"/>
      <c r="Q36" s="220" t="str">
        <f>IF($U$26="翌年2","随１期",IF($U$26="翌年3","過１期",""))</f>
        <v/>
      </c>
      <c r="R36" s="221"/>
      <c r="S36" s="231" t="str">
        <f>IF($U$26="翌年2","３月末日",IF($U$26="翌年3","７月末日",""))</f>
        <v/>
      </c>
      <c r="T36" s="231"/>
      <c r="U36" s="237">
        <f>VLOOKUP(U$26,振分期別表!B$5:K$16,10,FALSE)</f>
        <v>0</v>
      </c>
      <c r="V36" s="238"/>
      <c r="X36"/>
      <c r="Y36"/>
      <c r="Z36"/>
      <c r="AA36"/>
      <c r="AB36"/>
      <c r="AC36"/>
      <c r="AD36"/>
      <c r="AE36"/>
      <c r="AF36"/>
      <c r="AG36"/>
    </row>
    <row r="37" spans="6:33" ht="18" customHeight="1" thickBot="1">
      <c r="F37" s="207" t="s">
        <v>73</v>
      </c>
      <c r="G37" s="208"/>
      <c r="H37" s="209">
        <f>IFERROR(税額計算!R23,0)</f>
        <v>0</v>
      </c>
      <c r="I37" s="209"/>
      <c r="J37" s="209">
        <f>IFERROR(税額計算!R36,0)</f>
        <v>0</v>
      </c>
      <c r="K37" s="209"/>
      <c r="L37" s="209">
        <f>IFERROR(税額計算!S49,0)</f>
        <v>0</v>
      </c>
      <c r="M37" s="209"/>
      <c r="N37" s="209">
        <f t="shared" si="1"/>
        <v>0</v>
      </c>
      <c r="O37" s="216"/>
      <c r="X37"/>
      <c r="Y37"/>
      <c r="Z37"/>
      <c r="AA37"/>
      <c r="AB37"/>
      <c r="AC37"/>
      <c r="AD37"/>
      <c r="AE37"/>
      <c r="AF37"/>
      <c r="AG37"/>
    </row>
    <row r="38" spans="6:33" ht="18" customHeight="1" thickBot="1">
      <c r="F38" s="211" t="s">
        <v>109</v>
      </c>
      <c r="G38" s="212"/>
      <c r="H38" s="210">
        <f>SUM(H28:H37)</f>
        <v>0</v>
      </c>
      <c r="I38" s="210"/>
      <c r="J38" s="210">
        <f>SUM(J28:J37)</f>
        <v>0</v>
      </c>
      <c r="K38" s="210"/>
      <c r="L38" s="210">
        <f>SUM(L28:L37)</f>
        <v>0</v>
      </c>
      <c r="M38" s="210"/>
      <c r="N38" s="210">
        <f>SUM(N28:N37)</f>
        <v>0</v>
      </c>
      <c r="O38" s="190"/>
      <c r="P38" s="191" t="str">
        <f>"÷"&amp;U6&amp;"か月＝"</f>
        <v>÷12か月＝</v>
      </c>
      <c r="Q38" s="192"/>
      <c r="R38" s="189">
        <f>N38/J26</f>
        <v>0</v>
      </c>
      <c r="S38" s="190"/>
      <c r="T38" s="125" t="s">
        <v>131</v>
      </c>
      <c r="U38" s="122"/>
      <c r="V38" s="122"/>
      <c r="W38" s="122"/>
      <c r="X38"/>
      <c r="Y38"/>
      <c r="Z38"/>
      <c r="AA38"/>
      <c r="AB38"/>
      <c r="AC38"/>
      <c r="AD38"/>
      <c r="AE38"/>
      <c r="AF38"/>
      <c r="AG38"/>
    </row>
    <row r="39" spans="6:33" ht="5.25" customHeight="1"/>
    <row r="42" spans="6:33">
      <c r="F42" s="113"/>
    </row>
    <row r="43" spans="6:33">
      <c r="F43" s="113"/>
    </row>
    <row r="44" spans="6:33">
      <c r="F44" s="113"/>
    </row>
    <row r="45" spans="6:33">
      <c r="F45" s="113"/>
    </row>
    <row r="46" spans="6:33">
      <c r="F46" s="113"/>
    </row>
    <row r="47" spans="6:33">
      <c r="F47" s="113"/>
    </row>
    <row r="48" spans="6:33">
      <c r="F48" s="113"/>
    </row>
    <row r="49" spans="6:6">
      <c r="F49" s="113"/>
    </row>
    <row r="50" spans="6:6">
      <c r="F50" s="113"/>
    </row>
    <row r="51" spans="6:6">
      <c r="F51" s="113"/>
    </row>
    <row r="52" spans="6:6">
      <c r="F52" s="113"/>
    </row>
    <row r="53" spans="6:6">
      <c r="F53" s="113"/>
    </row>
    <row r="54" spans="6:6">
      <c r="F54" s="113"/>
    </row>
    <row r="56" spans="6:6">
      <c r="F56" s="113"/>
    </row>
  </sheetData>
  <sheetProtection password="C65F" sheet="1" objects="1" scenarios="1" selectLockedCells="1"/>
  <mergeCells count="242">
    <mergeCell ref="AF2:AG2"/>
    <mergeCell ref="AD2:AE2"/>
    <mergeCell ref="AE13:AG13"/>
    <mergeCell ref="AE14:AG14"/>
    <mergeCell ref="AE15:AG15"/>
    <mergeCell ref="AE16:AG16"/>
    <mergeCell ref="AE17:AG17"/>
    <mergeCell ref="AC14:AD14"/>
    <mergeCell ref="AC15:AD15"/>
    <mergeCell ref="AC16:AD16"/>
    <mergeCell ref="AC17:AD17"/>
    <mergeCell ref="AE7:AG7"/>
    <mergeCell ref="AE8:AG8"/>
    <mergeCell ref="AE9:AG9"/>
    <mergeCell ref="AE10:AG10"/>
    <mergeCell ref="AE11:AG11"/>
    <mergeCell ref="AE12:AG12"/>
    <mergeCell ref="AC12:AD12"/>
    <mergeCell ref="AC13:AD13"/>
    <mergeCell ref="S35:T35"/>
    <mergeCell ref="S36:T36"/>
    <mergeCell ref="U27:V27"/>
    <mergeCell ref="S27:T27"/>
    <mergeCell ref="S28:T28"/>
    <mergeCell ref="S29:T29"/>
    <mergeCell ref="S30:T30"/>
    <mergeCell ref="S31:T31"/>
    <mergeCell ref="S32:T32"/>
    <mergeCell ref="S33:T33"/>
    <mergeCell ref="S34:T34"/>
    <mergeCell ref="U32:V32"/>
    <mergeCell ref="U33:V33"/>
    <mergeCell ref="U34:V34"/>
    <mergeCell ref="U35:V35"/>
    <mergeCell ref="U36:V36"/>
    <mergeCell ref="U28:V28"/>
    <mergeCell ref="U29:V29"/>
    <mergeCell ref="U30:V30"/>
    <mergeCell ref="U31:V31"/>
    <mergeCell ref="F24:G24"/>
    <mergeCell ref="H20:I20"/>
    <mergeCell ref="H21:I21"/>
    <mergeCell ref="H22:I22"/>
    <mergeCell ref="O14:Q14"/>
    <mergeCell ref="O15:Q15"/>
    <mergeCell ref="O16:Q16"/>
    <mergeCell ref="O17:Q17"/>
    <mergeCell ref="H15:I15"/>
    <mergeCell ref="H16:I16"/>
    <mergeCell ref="H17:I17"/>
    <mergeCell ref="F20:G20"/>
    <mergeCell ref="J14:K14"/>
    <mergeCell ref="J15:K15"/>
    <mergeCell ref="J16:K16"/>
    <mergeCell ref="L21:M21"/>
    <mergeCell ref="L22:M22"/>
    <mergeCell ref="L23:M23"/>
    <mergeCell ref="J17:K17"/>
    <mergeCell ref="J13:K13"/>
    <mergeCell ref="L20:M20"/>
    <mergeCell ref="L28:M28"/>
    <mergeCell ref="L29:M29"/>
    <mergeCell ref="L30:M30"/>
    <mergeCell ref="L31:M31"/>
    <mergeCell ref="L32:M32"/>
    <mergeCell ref="Q26:T26"/>
    <mergeCell ref="L13:N13"/>
    <mergeCell ref="L14:N14"/>
    <mergeCell ref="L15:N15"/>
    <mergeCell ref="L16:N16"/>
    <mergeCell ref="L17:N17"/>
    <mergeCell ref="L38:M38"/>
    <mergeCell ref="L24:M24"/>
    <mergeCell ref="L6:T6"/>
    <mergeCell ref="H24:I24"/>
    <mergeCell ref="J20:K20"/>
    <mergeCell ref="J21:K21"/>
    <mergeCell ref="J22:K22"/>
    <mergeCell ref="J23:K23"/>
    <mergeCell ref="J24:K24"/>
    <mergeCell ref="Q27:R27"/>
    <mergeCell ref="Q36:R36"/>
    <mergeCell ref="O7:Q7"/>
    <mergeCell ref="O8:Q8"/>
    <mergeCell ref="O9:Q9"/>
    <mergeCell ref="O10:Q10"/>
    <mergeCell ref="N27:O27"/>
    <mergeCell ref="N28:O28"/>
    <mergeCell ref="N29:O29"/>
    <mergeCell ref="N31:O31"/>
    <mergeCell ref="J28:K28"/>
    <mergeCell ref="J29:K29"/>
    <mergeCell ref="L33:M33"/>
    <mergeCell ref="J30:K30"/>
    <mergeCell ref="J31:K31"/>
    <mergeCell ref="H38:I38"/>
    <mergeCell ref="J27:K27"/>
    <mergeCell ref="J35:K35"/>
    <mergeCell ref="H32:I32"/>
    <mergeCell ref="H33:I33"/>
    <mergeCell ref="H34:I34"/>
    <mergeCell ref="H35:I35"/>
    <mergeCell ref="H36:I36"/>
    <mergeCell ref="H37:I37"/>
    <mergeCell ref="J36:K36"/>
    <mergeCell ref="J37:K37"/>
    <mergeCell ref="J38:K38"/>
    <mergeCell ref="J32:K32"/>
    <mergeCell ref="N38:O38"/>
    <mergeCell ref="F38:G38"/>
    <mergeCell ref="Q28:R28"/>
    <mergeCell ref="Q29:R29"/>
    <mergeCell ref="Q30:R30"/>
    <mergeCell ref="Q31:R31"/>
    <mergeCell ref="Q32:R32"/>
    <mergeCell ref="Q33:R33"/>
    <mergeCell ref="Q34:R34"/>
    <mergeCell ref="Q35:R35"/>
    <mergeCell ref="N32:O32"/>
    <mergeCell ref="N33:O33"/>
    <mergeCell ref="N34:O34"/>
    <mergeCell ref="N35:O35"/>
    <mergeCell ref="N36:O36"/>
    <mergeCell ref="N37:O37"/>
    <mergeCell ref="L34:M34"/>
    <mergeCell ref="J33:K33"/>
    <mergeCell ref="J34:K34"/>
    <mergeCell ref="N30:O30"/>
    <mergeCell ref="F33:G33"/>
    <mergeCell ref="F34:G34"/>
    <mergeCell ref="F35:G35"/>
    <mergeCell ref="F36:G36"/>
    <mergeCell ref="X10:Z10"/>
    <mergeCell ref="X11:Z11"/>
    <mergeCell ref="X12:Z12"/>
    <mergeCell ref="L11:N11"/>
    <mergeCell ref="L12:N12"/>
    <mergeCell ref="J10:K10"/>
    <mergeCell ref="J11:K11"/>
    <mergeCell ref="J12:K12"/>
    <mergeCell ref="F37:G37"/>
    <mergeCell ref="H27:I27"/>
    <mergeCell ref="H28:I28"/>
    <mergeCell ref="H29:I29"/>
    <mergeCell ref="H30:I30"/>
    <mergeCell ref="H31:I31"/>
    <mergeCell ref="F27:G27"/>
    <mergeCell ref="F28:G28"/>
    <mergeCell ref="F29:G29"/>
    <mergeCell ref="F30:G30"/>
    <mergeCell ref="F31:G31"/>
    <mergeCell ref="F32:G32"/>
    <mergeCell ref="L35:M35"/>
    <mergeCell ref="L36:M36"/>
    <mergeCell ref="L37:M37"/>
    <mergeCell ref="L27:M27"/>
    <mergeCell ref="AA13:AB13"/>
    <mergeCell ref="AA14:AB14"/>
    <mergeCell ref="AA15:AB15"/>
    <mergeCell ref="AA16:AB16"/>
    <mergeCell ref="AA17:AB17"/>
    <mergeCell ref="AC7:AD7"/>
    <mergeCell ref="AA7:AB7"/>
    <mergeCell ref="AA8:AB8"/>
    <mergeCell ref="AA9:AB9"/>
    <mergeCell ref="AA10:AB10"/>
    <mergeCell ref="AA11:AB11"/>
    <mergeCell ref="AA12:AB12"/>
    <mergeCell ref="AC8:AD8"/>
    <mergeCell ref="AC9:AD9"/>
    <mergeCell ref="AC10:AD10"/>
    <mergeCell ref="AC11:AD11"/>
    <mergeCell ref="X14:Z14"/>
    <mergeCell ref="R16:T16"/>
    <mergeCell ref="R17:T17"/>
    <mergeCell ref="U7:W7"/>
    <mergeCell ref="U8:W8"/>
    <mergeCell ref="U9:W9"/>
    <mergeCell ref="U10:W10"/>
    <mergeCell ref="U11:W11"/>
    <mergeCell ref="U12:W12"/>
    <mergeCell ref="U13:W13"/>
    <mergeCell ref="U14:W14"/>
    <mergeCell ref="R10:T10"/>
    <mergeCell ref="R11:T11"/>
    <mergeCell ref="R12:T12"/>
    <mergeCell ref="R13:T13"/>
    <mergeCell ref="R14:T14"/>
    <mergeCell ref="R15:T15"/>
    <mergeCell ref="U15:W15"/>
    <mergeCell ref="U16:W16"/>
    <mergeCell ref="U17:W17"/>
    <mergeCell ref="X15:Z15"/>
    <mergeCell ref="X16:Z16"/>
    <mergeCell ref="X17:Z17"/>
    <mergeCell ref="X13:Z13"/>
    <mergeCell ref="F2:O2"/>
    <mergeCell ref="S2:T2"/>
    <mergeCell ref="U2:X2"/>
    <mergeCell ref="F8:G8"/>
    <mergeCell ref="F9:G9"/>
    <mergeCell ref="R7:T7"/>
    <mergeCell ref="R8:T8"/>
    <mergeCell ref="R9:T9"/>
    <mergeCell ref="J7:K7"/>
    <mergeCell ref="J8:K8"/>
    <mergeCell ref="J9:K9"/>
    <mergeCell ref="X7:Z7"/>
    <mergeCell ref="X8:Z8"/>
    <mergeCell ref="X9:Z9"/>
    <mergeCell ref="H7:I7"/>
    <mergeCell ref="H8:I8"/>
    <mergeCell ref="H9:I9"/>
    <mergeCell ref="V6:W6"/>
    <mergeCell ref="L7:N7"/>
    <mergeCell ref="L8:N8"/>
    <mergeCell ref="L9:N9"/>
    <mergeCell ref="F7:G7"/>
    <mergeCell ref="R38:S38"/>
    <mergeCell ref="P38:Q38"/>
    <mergeCell ref="F21:G21"/>
    <mergeCell ref="F22:G22"/>
    <mergeCell ref="F23:G23"/>
    <mergeCell ref="F4:G4"/>
    <mergeCell ref="O11:Q11"/>
    <mergeCell ref="O12:Q12"/>
    <mergeCell ref="O13:Q13"/>
    <mergeCell ref="H23:I23"/>
    <mergeCell ref="F16:G16"/>
    <mergeCell ref="F17:G17"/>
    <mergeCell ref="H10:I10"/>
    <mergeCell ref="H11:I11"/>
    <mergeCell ref="H12:I12"/>
    <mergeCell ref="H13:I13"/>
    <mergeCell ref="H14:I14"/>
    <mergeCell ref="F10:G10"/>
    <mergeCell ref="F11:G11"/>
    <mergeCell ref="F12:G12"/>
    <mergeCell ref="F13:G13"/>
    <mergeCell ref="F14:G14"/>
    <mergeCell ref="F15:G15"/>
    <mergeCell ref="L10:N10"/>
  </mergeCells>
  <phoneticPr fontId="1"/>
  <dataValidations count="3">
    <dataValidation type="list" allowBlank="1" showInputMessage="1" showErrorMessage="1" sqref="J8:K17">
      <formula1>"該当,非該当"</formula1>
    </dataValidation>
    <dataValidation type="list" allowBlank="1" showInputMessage="1" showErrorMessage="1" sqref="U26">
      <formula1>"4,5,6,7,8,9,10,11,12,翌年1,翌年2,翌年3"</formula1>
    </dataValidation>
    <dataValidation type="list" allowBlank="1" showInputMessage="1" showErrorMessage="1" sqref="U6">
      <formula1>"1,2,3,4,5,6,7,8,9,10,11,12"</formula1>
    </dataValidation>
  </dataValidations>
  <printOptions horizontalCentered="1" verticalCentered="1"/>
  <pageMargins left="0.39370078740157483" right="0.39370078740157483" top="0.27559055118110237" bottom="0.27559055118110237" header="0.11811023622047245" footer="0.11811023622047245"/>
  <pageSetup paperSize="9" scale="9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1"/>
    <pageSetUpPr fitToPage="1"/>
  </sheetPr>
  <dimension ref="A2:AB80"/>
  <sheetViews>
    <sheetView showGridLines="0" topLeftCell="BA1" zoomScale="85" zoomScaleNormal="85" workbookViewId="0">
      <selection sqref="A1:AZ1048576"/>
    </sheetView>
  </sheetViews>
  <sheetFormatPr defaultRowHeight="13.5"/>
  <cols>
    <col min="1" max="1" width="2.125" hidden="1" customWidth="1"/>
    <col min="2" max="2" width="4.625" hidden="1" customWidth="1"/>
    <col min="3" max="3" width="0" hidden="1" customWidth="1"/>
    <col min="4" max="4" width="11.625" hidden="1" customWidth="1"/>
    <col min="5" max="5" width="17.25" hidden="1" customWidth="1"/>
    <col min="6" max="9" width="10.75" hidden="1" customWidth="1"/>
    <col min="10" max="10" width="5.75" hidden="1" customWidth="1"/>
    <col min="11" max="15" width="10.75" hidden="1" customWidth="1"/>
    <col min="16" max="18" width="10.75" style="79" hidden="1" customWidth="1"/>
    <col min="19" max="19" width="10.75" hidden="1" customWidth="1"/>
    <col min="20" max="27" width="0" hidden="1" customWidth="1"/>
    <col min="28" max="28" width="9.5" hidden="1" customWidth="1"/>
    <col min="29" max="52" width="0" hidden="1" customWidth="1"/>
  </cols>
  <sheetData>
    <row r="2" spans="2:18" ht="15" thickBot="1">
      <c r="B2" s="1" t="s">
        <v>33</v>
      </c>
      <c r="E2" s="106"/>
    </row>
    <row r="3" spans="2:18">
      <c r="B3" s="260" t="s">
        <v>58</v>
      </c>
      <c r="C3" s="260"/>
      <c r="E3" s="78" t="s">
        <v>90</v>
      </c>
      <c r="F3" s="95" t="s">
        <v>48</v>
      </c>
      <c r="G3" s="95" t="s">
        <v>49</v>
      </c>
      <c r="H3" s="95" t="s">
        <v>50</v>
      </c>
      <c r="J3" s="250" t="s">
        <v>91</v>
      </c>
      <c r="K3" s="251"/>
      <c r="L3" s="256" t="s">
        <v>95</v>
      </c>
      <c r="M3" s="257"/>
    </row>
    <row r="4" spans="2:18">
      <c r="B4" s="261">
        <f>入力用!S2</f>
        <v>2025</v>
      </c>
      <c r="C4" s="262"/>
      <c r="E4" s="95" t="s">
        <v>47</v>
      </c>
      <c r="F4" s="107">
        <v>7.0000000000000007E-2</v>
      </c>
      <c r="G4" s="107">
        <v>3.1E-2</v>
      </c>
      <c r="H4" s="107">
        <v>2.5000000000000001E-2</v>
      </c>
      <c r="J4" s="252" t="s">
        <v>187</v>
      </c>
      <c r="K4" s="253"/>
      <c r="L4" s="169" t="str">
        <f>軽減判定!B24</f>
        <v>７割軽減</v>
      </c>
      <c r="M4" s="109">
        <v>0.3</v>
      </c>
    </row>
    <row r="5" spans="2:18">
      <c r="E5" s="95" t="s">
        <v>51</v>
      </c>
      <c r="F5" s="108">
        <v>29000</v>
      </c>
      <c r="G5" s="108">
        <v>12600</v>
      </c>
      <c r="H5" s="108">
        <v>12200</v>
      </c>
      <c r="J5" s="254">
        <f>VLOOKUP(J4,L4:M7,2,FALSE)</f>
        <v>1</v>
      </c>
      <c r="K5" s="255"/>
      <c r="L5" s="169" t="str">
        <f>軽減判定!B25</f>
        <v>５割軽減</v>
      </c>
      <c r="M5" s="109">
        <v>0.5</v>
      </c>
    </row>
    <row r="6" spans="2:18">
      <c r="E6" s="95" t="s">
        <v>52</v>
      </c>
      <c r="F6" s="108">
        <v>19400</v>
      </c>
      <c r="G6" s="108">
        <v>8400</v>
      </c>
      <c r="H6" s="108">
        <v>6200</v>
      </c>
      <c r="L6" s="169" t="str">
        <f>軽減判定!B26</f>
        <v>２割軽減</v>
      </c>
      <c r="M6" s="109">
        <v>0.8</v>
      </c>
    </row>
    <row r="7" spans="2:18" ht="14.25" thickBot="1">
      <c r="E7" s="95" t="s">
        <v>53</v>
      </c>
      <c r="F7" s="180">
        <v>660000</v>
      </c>
      <c r="G7" s="180">
        <v>260000</v>
      </c>
      <c r="H7" s="108">
        <v>170000</v>
      </c>
      <c r="L7" s="170" t="str">
        <f>軽減判定!B27</f>
        <v>軽減なし</v>
      </c>
      <c r="M7" s="110">
        <v>1</v>
      </c>
    </row>
    <row r="11" spans="2:18">
      <c r="O11" s="97"/>
    </row>
    <row r="12" spans="2:18" ht="20.25" customHeight="1" thickBot="1">
      <c r="O12" s="98" t="s">
        <v>79</v>
      </c>
    </row>
    <row r="13" spans="2:18" ht="27">
      <c r="B13" s="258" t="s">
        <v>48</v>
      </c>
      <c r="C13" s="65"/>
      <c r="D13" s="66" t="s">
        <v>16</v>
      </c>
      <c r="E13" s="66" t="s">
        <v>56</v>
      </c>
      <c r="F13" s="66" t="s">
        <v>74</v>
      </c>
      <c r="G13" s="67" t="s">
        <v>146</v>
      </c>
      <c r="H13" s="67" t="s">
        <v>147</v>
      </c>
      <c r="I13" s="129" t="s">
        <v>144</v>
      </c>
      <c r="J13" s="67" t="s">
        <v>54</v>
      </c>
      <c r="K13" s="67" t="s">
        <v>81</v>
      </c>
      <c r="L13" s="129" t="s">
        <v>145</v>
      </c>
      <c r="M13" s="68" t="s">
        <v>75</v>
      </c>
      <c r="N13" s="86" t="s">
        <v>76</v>
      </c>
      <c r="O13" s="99" t="s">
        <v>80</v>
      </c>
      <c r="P13" s="67" t="s">
        <v>81</v>
      </c>
      <c r="Q13" s="67" t="s">
        <v>82</v>
      </c>
      <c r="R13" s="70" t="s">
        <v>83</v>
      </c>
    </row>
    <row r="14" spans="2:18" ht="13.5" customHeight="1">
      <c r="B14" s="258"/>
      <c r="C14" s="78" t="s">
        <v>14</v>
      </c>
      <c r="D14" s="62">
        <f>入力用!H8</f>
        <v>0</v>
      </c>
      <c r="E14" s="62" t="str">
        <f t="shared" ref="E14:E23" si="0">IF(D14&gt;=B$58,D$58,IF(D14&gt;B$61,D$61,IF(D14&gt;B$64,D$64,IF(D14&gt;B$67,D$67,IF(D14&lt;B$70,D$58,D$64)))))</f>
        <v>国保加入期間なし</v>
      </c>
      <c r="F14" s="53">
        <f>IF(E14=D$58,0,入力用!AE8)</f>
        <v>0</v>
      </c>
      <c r="G14" s="63">
        <f>F14*F$4</f>
        <v>0</v>
      </c>
      <c r="H14" s="53">
        <f>IF(E14=D$58,0,IF(E14=D$61,$F$5*$J$5/2,$F$5*$J$5))</f>
        <v>0</v>
      </c>
      <c r="I14" s="63">
        <f t="shared" ref="I14:I24" si="1">SUM(G14:H14)</f>
        <v>0</v>
      </c>
      <c r="J14" s="131">
        <f>IF(E14=D$58,0,入力用!U$6)</f>
        <v>0</v>
      </c>
      <c r="K14" s="130"/>
      <c r="L14" s="63">
        <f>I14/12*J14</f>
        <v>0</v>
      </c>
      <c r="M14" s="91"/>
      <c r="N14" s="87"/>
      <c r="O14" s="100">
        <f t="shared" ref="O14:O23" si="2">ROUNDDOWN(G14/12*J14,0)</f>
        <v>0</v>
      </c>
      <c r="P14" s="90" t="e">
        <f>ROUNDDOWN(P$24/SUM(J$14:J$23),0)*J14</f>
        <v>#DIV/0!</v>
      </c>
      <c r="Q14" s="90" t="e">
        <f t="shared" ref="Q14:Q23" si="3">H14/12*J14+O14+P14</f>
        <v>#DIV/0!</v>
      </c>
      <c r="R14" s="80" t="e">
        <f>N24-SUM(R15:R23)</f>
        <v>#DIV/0!</v>
      </c>
    </row>
    <row r="15" spans="2:18">
      <c r="B15" s="258"/>
      <c r="C15" s="78" t="s">
        <v>15</v>
      </c>
      <c r="D15" s="62">
        <f>入力用!H9</f>
        <v>0</v>
      </c>
      <c r="E15" s="62" t="str">
        <f t="shared" si="0"/>
        <v>国保加入期間なし</v>
      </c>
      <c r="F15" s="53">
        <f>IF(E15=D$58,0,入力用!AE9)</f>
        <v>0</v>
      </c>
      <c r="G15" s="63">
        <f t="shared" ref="G15:G23" si="4">F15*F$4</f>
        <v>0</v>
      </c>
      <c r="H15" s="53">
        <f t="shared" ref="H15:H22" si="5">IF(E15=D$58,0,IF(E15=D$61,$F$5*$J$5/2,$F$5*$J$5))</f>
        <v>0</v>
      </c>
      <c r="I15" s="63">
        <f t="shared" si="1"/>
        <v>0</v>
      </c>
      <c r="J15" s="131">
        <f>IF(E15=D$58,0,入力用!U$6)</f>
        <v>0</v>
      </c>
      <c r="K15" s="130"/>
      <c r="L15" s="63">
        <f t="shared" ref="L15:L22" si="6">I15/12*J15</f>
        <v>0</v>
      </c>
      <c r="M15" s="91"/>
      <c r="N15" s="87"/>
      <c r="O15" s="100">
        <f t="shared" si="2"/>
        <v>0</v>
      </c>
      <c r="P15" s="90" t="e">
        <f>ROUNDDOWN(P$24/SUM(J$14:J$23),0)*J15</f>
        <v>#DIV/0!</v>
      </c>
      <c r="Q15" s="90" t="e">
        <f t="shared" si="3"/>
        <v>#DIV/0!</v>
      </c>
      <c r="R15" s="80" t="e">
        <f>ROUNDDOWN(Q15/Q$24*N$24,0)</f>
        <v>#DIV/0!</v>
      </c>
    </row>
    <row r="16" spans="2:18">
      <c r="B16" s="258"/>
      <c r="C16" s="78" t="s">
        <v>21</v>
      </c>
      <c r="D16" s="62">
        <f>入力用!H10</f>
        <v>0</v>
      </c>
      <c r="E16" s="62" t="str">
        <f t="shared" si="0"/>
        <v>国保加入期間なし</v>
      </c>
      <c r="F16" s="53">
        <f>IF(E16=D$58,0,入力用!AE10)</f>
        <v>0</v>
      </c>
      <c r="G16" s="63">
        <f t="shared" si="4"/>
        <v>0</v>
      </c>
      <c r="H16" s="53">
        <f t="shared" si="5"/>
        <v>0</v>
      </c>
      <c r="I16" s="63">
        <f t="shared" si="1"/>
        <v>0</v>
      </c>
      <c r="J16" s="131">
        <f>IF(E16=D$58,0,入力用!U$6)</f>
        <v>0</v>
      </c>
      <c r="K16" s="130"/>
      <c r="L16" s="63">
        <f t="shared" si="6"/>
        <v>0</v>
      </c>
      <c r="M16" s="91"/>
      <c r="N16" s="87"/>
      <c r="O16" s="100">
        <f t="shared" si="2"/>
        <v>0</v>
      </c>
      <c r="P16" s="90" t="e">
        <f t="shared" ref="P16:P21" si="7">ROUNDDOWN(P$24/SUM(J$14:J$23),0)*J16</f>
        <v>#DIV/0!</v>
      </c>
      <c r="Q16" s="90" t="e">
        <f t="shared" si="3"/>
        <v>#DIV/0!</v>
      </c>
      <c r="R16" s="80" t="e">
        <f t="shared" ref="R16:R23" si="8">ROUNDDOWN(Q16/Q$24*N$24,0)</f>
        <v>#DIV/0!</v>
      </c>
    </row>
    <row r="17" spans="2:18">
      <c r="B17" s="258"/>
      <c r="C17" s="78" t="s">
        <v>22</v>
      </c>
      <c r="D17" s="62">
        <f>入力用!H11</f>
        <v>0</v>
      </c>
      <c r="E17" s="62" t="str">
        <f t="shared" si="0"/>
        <v>国保加入期間なし</v>
      </c>
      <c r="F17" s="53">
        <f>IF(E17=D$58,0,入力用!AE11)</f>
        <v>0</v>
      </c>
      <c r="G17" s="63">
        <f t="shared" si="4"/>
        <v>0</v>
      </c>
      <c r="H17" s="53">
        <f t="shared" si="5"/>
        <v>0</v>
      </c>
      <c r="I17" s="63">
        <f t="shared" si="1"/>
        <v>0</v>
      </c>
      <c r="J17" s="131">
        <f>IF(E17=D$58,0,入力用!U$6)</f>
        <v>0</v>
      </c>
      <c r="K17" s="130"/>
      <c r="L17" s="63">
        <f t="shared" si="6"/>
        <v>0</v>
      </c>
      <c r="M17" s="91"/>
      <c r="N17" s="87"/>
      <c r="O17" s="100">
        <f t="shared" si="2"/>
        <v>0</v>
      </c>
      <c r="P17" s="90" t="e">
        <f t="shared" si="7"/>
        <v>#DIV/0!</v>
      </c>
      <c r="Q17" s="90" t="e">
        <f t="shared" si="3"/>
        <v>#DIV/0!</v>
      </c>
      <c r="R17" s="80" t="e">
        <f t="shared" si="8"/>
        <v>#DIV/0!</v>
      </c>
    </row>
    <row r="18" spans="2:18">
      <c r="B18" s="258"/>
      <c r="C18" s="78" t="s">
        <v>23</v>
      </c>
      <c r="D18" s="62">
        <f>入力用!H12</f>
        <v>0</v>
      </c>
      <c r="E18" s="62" t="str">
        <f t="shared" si="0"/>
        <v>国保加入期間なし</v>
      </c>
      <c r="F18" s="53">
        <f>IF(E18=D$58,0,入力用!AE12)</f>
        <v>0</v>
      </c>
      <c r="G18" s="63">
        <f t="shared" si="4"/>
        <v>0</v>
      </c>
      <c r="H18" s="53">
        <f t="shared" si="5"/>
        <v>0</v>
      </c>
      <c r="I18" s="63">
        <f t="shared" si="1"/>
        <v>0</v>
      </c>
      <c r="J18" s="131">
        <f>IF(E18=D$58,0,入力用!U$6)</f>
        <v>0</v>
      </c>
      <c r="K18" s="130"/>
      <c r="L18" s="63">
        <f t="shared" si="6"/>
        <v>0</v>
      </c>
      <c r="M18" s="91"/>
      <c r="N18" s="87"/>
      <c r="O18" s="100">
        <f t="shared" si="2"/>
        <v>0</v>
      </c>
      <c r="P18" s="90" t="e">
        <f t="shared" si="7"/>
        <v>#DIV/0!</v>
      </c>
      <c r="Q18" s="90" t="e">
        <f t="shared" si="3"/>
        <v>#DIV/0!</v>
      </c>
      <c r="R18" s="80" t="e">
        <f t="shared" si="8"/>
        <v>#DIV/0!</v>
      </c>
    </row>
    <row r="19" spans="2:18">
      <c r="B19" s="258"/>
      <c r="C19" s="78" t="s">
        <v>69</v>
      </c>
      <c r="D19" s="62">
        <f>入力用!H13</f>
        <v>0</v>
      </c>
      <c r="E19" s="62" t="str">
        <f t="shared" si="0"/>
        <v>国保加入期間なし</v>
      </c>
      <c r="F19" s="53">
        <f>IF(E19=D$58,0,入力用!AE13)</f>
        <v>0</v>
      </c>
      <c r="G19" s="63">
        <f t="shared" si="4"/>
        <v>0</v>
      </c>
      <c r="H19" s="53">
        <f t="shared" si="5"/>
        <v>0</v>
      </c>
      <c r="I19" s="63">
        <f t="shared" si="1"/>
        <v>0</v>
      </c>
      <c r="J19" s="131">
        <f>IF(E19=D$58,0,入力用!U$6)</f>
        <v>0</v>
      </c>
      <c r="K19" s="130"/>
      <c r="L19" s="63">
        <f t="shared" si="6"/>
        <v>0</v>
      </c>
      <c r="M19" s="91"/>
      <c r="N19" s="87"/>
      <c r="O19" s="100">
        <f t="shared" si="2"/>
        <v>0</v>
      </c>
      <c r="P19" s="90" t="e">
        <f t="shared" si="7"/>
        <v>#DIV/0!</v>
      </c>
      <c r="Q19" s="90" t="e">
        <f t="shared" si="3"/>
        <v>#DIV/0!</v>
      </c>
      <c r="R19" s="80" t="e">
        <f t="shared" si="8"/>
        <v>#DIV/0!</v>
      </c>
    </row>
    <row r="20" spans="2:18">
      <c r="B20" s="258"/>
      <c r="C20" s="78" t="s">
        <v>70</v>
      </c>
      <c r="D20" s="62">
        <f>入力用!H14</f>
        <v>0</v>
      </c>
      <c r="E20" s="62" t="str">
        <f t="shared" si="0"/>
        <v>国保加入期間なし</v>
      </c>
      <c r="F20" s="53">
        <f>IF(E20=D$58,0,入力用!AE14)</f>
        <v>0</v>
      </c>
      <c r="G20" s="63">
        <f t="shared" si="4"/>
        <v>0</v>
      </c>
      <c r="H20" s="53">
        <f t="shared" si="5"/>
        <v>0</v>
      </c>
      <c r="I20" s="63">
        <f t="shared" si="1"/>
        <v>0</v>
      </c>
      <c r="J20" s="131">
        <f>IF(E20=D$58,0,入力用!U$6)</f>
        <v>0</v>
      </c>
      <c r="K20" s="130"/>
      <c r="L20" s="63">
        <f t="shared" si="6"/>
        <v>0</v>
      </c>
      <c r="M20" s="91"/>
      <c r="N20" s="87"/>
      <c r="O20" s="100">
        <f t="shared" si="2"/>
        <v>0</v>
      </c>
      <c r="P20" s="90" t="e">
        <f t="shared" si="7"/>
        <v>#DIV/0!</v>
      </c>
      <c r="Q20" s="90" t="e">
        <f t="shared" si="3"/>
        <v>#DIV/0!</v>
      </c>
      <c r="R20" s="80" t="e">
        <f t="shared" si="8"/>
        <v>#DIV/0!</v>
      </c>
    </row>
    <row r="21" spans="2:18">
      <c r="B21" s="258"/>
      <c r="C21" s="78" t="s">
        <v>71</v>
      </c>
      <c r="D21" s="62">
        <f>入力用!H15</f>
        <v>0</v>
      </c>
      <c r="E21" s="62" t="str">
        <f t="shared" si="0"/>
        <v>国保加入期間なし</v>
      </c>
      <c r="F21" s="53">
        <f>IF(E21=D$58,0,入力用!AE15)</f>
        <v>0</v>
      </c>
      <c r="G21" s="63">
        <f t="shared" si="4"/>
        <v>0</v>
      </c>
      <c r="H21" s="53">
        <f t="shared" si="5"/>
        <v>0</v>
      </c>
      <c r="I21" s="63">
        <f t="shared" si="1"/>
        <v>0</v>
      </c>
      <c r="J21" s="131">
        <f>IF(E21=D$58,0,入力用!U$6)</f>
        <v>0</v>
      </c>
      <c r="K21" s="130"/>
      <c r="L21" s="63">
        <f t="shared" si="6"/>
        <v>0</v>
      </c>
      <c r="M21" s="91"/>
      <c r="N21" s="87"/>
      <c r="O21" s="100">
        <f t="shared" si="2"/>
        <v>0</v>
      </c>
      <c r="P21" s="90" t="e">
        <f t="shared" si="7"/>
        <v>#DIV/0!</v>
      </c>
      <c r="Q21" s="90" t="e">
        <f t="shared" si="3"/>
        <v>#DIV/0!</v>
      </c>
      <c r="R21" s="80" t="e">
        <f t="shared" si="8"/>
        <v>#DIV/0!</v>
      </c>
    </row>
    <row r="22" spans="2:18">
      <c r="B22" s="258"/>
      <c r="C22" s="78" t="s">
        <v>72</v>
      </c>
      <c r="D22" s="62">
        <f>入力用!H16</f>
        <v>0</v>
      </c>
      <c r="E22" s="62" t="str">
        <f t="shared" si="0"/>
        <v>国保加入期間なし</v>
      </c>
      <c r="F22" s="53">
        <f>IF(E22=D$58,0,入力用!AE16)</f>
        <v>0</v>
      </c>
      <c r="G22" s="63">
        <f t="shared" si="4"/>
        <v>0</v>
      </c>
      <c r="H22" s="53">
        <f t="shared" si="5"/>
        <v>0</v>
      </c>
      <c r="I22" s="63">
        <f t="shared" si="1"/>
        <v>0</v>
      </c>
      <c r="J22" s="131">
        <f>IF(E22=D$58,0,入力用!U$6)</f>
        <v>0</v>
      </c>
      <c r="K22" s="130"/>
      <c r="L22" s="63">
        <f t="shared" si="6"/>
        <v>0</v>
      </c>
      <c r="M22" s="91"/>
      <c r="N22" s="87"/>
      <c r="O22" s="100">
        <f t="shared" si="2"/>
        <v>0</v>
      </c>
      <c r="P22" s="90" t="e">
        <f>ROUNDDOWN(P$24/SUM(J$14:J$23),0)*J22</f>
        <v>#DIV/0!</v>
      </c>
      <c r="Q22" s="90" t="e">
        <f t="shared" si="3"/>
        <v>#DIV/0!</v>
      </c>
      <c r="R22" s="80" t="e">
        <f t="shared" si="8"/>
        <v>#DIV/0!</v>
      </c>
    </row>
    <row r="23" spans="2:18" ht="14.25" thickBot="1">
      <c r="B23" s="258"/>
      <c r="C23" s="78" t="s">
        <v>73</v>
      </c>
      <c r="D23" s="62">
        <f>入力用!H17</f>
        <v>0</v>
      </c>
      <c r="E23" s="62" t="str">
        <f t="shared" si="0"/>
        <v>国保加入期間なし</v>
      </c>
      <c r="F23" s="53">
        <f>IF(E23=D$58,0,入力用!AE17)</f>
        <v>0</v>
      </c>
      <c r="G23" s="63">
        <f t="shared" si="4"/>
        <v>0</v>
      </c>
      <c r="H23" s="53">
        <f>IF(E23=D$58,0,IF(E23=D$61,$F$5*$J$5/2,$F$5*$J$5))</f>
        <v>0</v>
      </c>
      <c r="I23" s="63">
        <f t="shared" si="1"/>
        <v>0</v>
      </c>
      <c r="J23" s="131">
        <f>IF(E23=D$58,0,入力用!U$6)</f>
        <v>0</v>
      </c>
      <c r="K23" s="130"/>
      <c r="L23" s="63">
        <f>I23/12*J23</f>
        <v>0</v>
      </c>
      <c r="M23" s="91"/>
      <c r="N23" s="88"/>
      <c r="O23" s="100">
        <f t="shared" si="2"/>
        <v>0</v>
      </c>
      <c r="P23" s="90" t="e">
        <f>ROUNDDOWN(P$24/SUM(J$14:J$23),0)*J23</f>
        <v>#DIV/0!</v>
      </c>
      <c r="Q23" s="90" t="e">
        <f t="shared" si="3"/>
        <v>#DIV/0!</v>
      </c>
      <c r="R23" s="71" t="e">
        <f t="shared" si="8"/>
        <v>#DIV/0!</v>
      </c>
    </row>
    <row r="24" spans="2:18" ht="14.25" thickBot="1">
      <c r="B24" s="258"/>
      <c r="C24" s="250" t="s">
        <v>68</v>
      </c>
      <c r="D24" s="251"/>
      <c r="E24" s="259"/>
      <c r="F24" s="53">
        <f>SUM(F14:F23)</f>
        <v>0</v>
      </c>
      <c r="G24" s="63">
        <f>SUM(G14:G23)</f>
        <v>0</v>
      </c>
      <c r="H24" s="53">
        <f>SUM(H14:H23)</f>
        <v>0</v>
      </c>
      <c r="I24" s="63">
        <f t="shared" si="1"/>
        <v>0</v>
      </c>
      <c r="J24" s="64">
        <f>MAX(J14:J23)</f>
        <v>0</v>
      </c>
      <c r="K24" s="53">
        <f>F6*J5/12*J24</f>
        <v>0</v>
      </c>
      <c r="L24" s="63">
        <f>SUM(L14:L23)+K24</f>
        <v>0</v>
      </c>
      <c r="M24" s="69">
        <f>F7/12*J24</f>
        <v>0</v>
      </c>
      <c r="N24" s="89">
        <f>ROUNDDOWN(IF(L24&lt;M24,L24,M24),-2)</f>
        <v>0</v>
      </c>
      <c r="O24" s="101"/>
      <c r="P24" s="53">
        <f>K24</f>
        <v>0</v>
      </c>
      <c r="Q24" s="53" t="e">
        <f>SUM(Q14:Q23)</f>
        <v>#DIV/0!</v>
      </c>
      <c r="R24" s="92"/>
    </row>
    <row r="25" spans="2:18" ht="20.25" customHeight="1" thickBot="1">
      <c r="G25" s="47"/>
      <c r="O25" s="97"/>
    </row>
    <row r="26" spans="2:18" ht="27">
      <c r="B26" s="258" t="s">
        <v>49</v>
      </c>
      <c r="C26" s="65"/>
      <c r="D26" s="66" t="s">
        <v>16</v>
      </c>
      <c r="E26" s="66" t="s">
        <v>56</v>
      </c>
      <c r="F26" s="66" t="s">
        <v>74</v>
      </c>
      <c r="G26" s="67" t="s">
        <v>146</v>
      </c>
      <c r="H26" s="67" t="s">
        <v>147</v>
      </c>
      <c r="I26" s="129" t="s">
        <v>144</v>
      </c>
      <c r="J26" s="67" t="s">
        <v>46</v>
      </c>
      <c r="K26" s="93" t="s">
        <v>81</v>
      </c>
      <c r="L26" s="129" t="s">
        <v>145</v>
      </c>
      <c r="M26" s="68" t="s">
        <v>75</v>
      </c>
      <c r="N26" s="86" t="s">
        <v>76</v>
      </c>
      <c r="O26" s="99" t="s">
        <v>80</v>
      </c>
      <c r="P26" s="93" t="s">
        <v>81</v>
      </c>
      <c r="Q26" s="67" t="s">
        <v>82</v>
      </c>
      <c r="R26" s="70" t="s">
        <v>83</v>
      </c>
    </row>
    <row r="27" spans="2:18">
      <c r="B27" s="258"/>
      <c r="C27" s="78" t="s">
        <v>14</v>
      </c>
      <c r="D27" s="72">
        <f t="shared" ref="D27:F36" si="9">D14</f>
        <v>0</v>
      </c>
      <c r="E27" s="72" t="str">
        <f t="shared" si="9"/>
        <v>国保加入期間なし</v>
      </c>
      <c r="F27" s="73">
        <f t="shared" si="9"/>
        <v>0</v>
      </c>
      <c r="G27" s="63">
        <f>F27*G$4</f>
        <v>0</v>
      </c>
      <c r="H27" s="53">
        <f>IF(E27=D$58,0,IF(E27=D$61,$G$5*J$5/2,$G$5*J$5))</f>
        <v>0</v>
      </c>
      <c r="I27" s="77">
        <f t="shared" ref="I27:I37" si="10">G27+H27</f>
        <v>0</v>
      </c>
      <c r="J27" s="74">
        <f t="shared" ref="J27:J37" si="11">J14</f>
        <v>0</v>
      </c>
      <c r="K27" s="75"/>
      <c r="L27" s="63">
        <f t="shared" ref="L27:L36" si="12">I27/12*J27</f>
        <v>0</v>
      </c>
      <c r="M27" s="91"/>
      <c r="N27" s="87"/>
      <c r="O27" s="100">
        <f t="shared" ref="O27:O36" si="13">ROUNDDOWN(G27/12*J27,0)</f>
        <v>0</v>
      </c>
      <c r="P27" s="76"/>
      <c r="Q27" s="90">
        <f>H27/12*J27+O27</f>
        <v>0</v>
      </c>
      <c r="R27" s="80" t="e">
        <f>N37-SUM(R28:R36)</f>
        <v>#DIV/0!</v>
      </c>
    </row>
    <row r="28" spans="2:18">
      <c r="B28" s="258"/>
      <c r="C28" s="78" t="s">
        <v>15</v>
      </c>
      <c r="D28" s="72">
        <f t="shared" si="9"/>
        <v>0</v>
      </c>
      <c r="E28" s="72" t="str">
        <f t="shared" si="9"/>
        <v>国保加入期間なし</v>
      </c>
      <c r="F28" s="73">
        <f t="shared" si="9"/>
        <v>0</v>
      </c>
      <c r="G28" s="63">
        <f t="shared" ref="G28:G36" si="14">F28*G$4</f>
        <v>0</v>
      </c>
      <c r="H28" s="53">
        <f t="shared" ref="H28:H36" si="15">IF(E28=D$58,0,IF(E28=D$61,$G$5*J$5/2,$G$5*J$5))</f>
        <v>0</v>
      </c>
      <c r="I28" s="77">
        <f t="shared" si="10"/>
        <v>0</v>
      </c>
      <c r="J28" s="74">
        <f t="shared" si="11"/>
        <v>0</v>
      </c>
      <c r="K28" s="75"/>
      <c r="L28" s="63">
        <f t="shared" si="12"/>
        <v>0</v>
      </c>
      <c r="M28" s="91"/>
      <c r="N28" s="87"/>
      <c r="O28" s="100">
        <f t="shared" si="13"/>
        <v>0</v>
      </c>
      <c r="P28" s="76"/>
      <c r="Q28" s="90">
        <f t="shared" ref="Q28:Q36" si="16">H28/12*J28+O28</f>
        <v>0</v>
      </c>
      <c r="R28" s="80" t="e">
        <f>ROUNDDOWN(Q28/Q$37*N$37,0)</f>
        <v>#DIV/0!</v>
      </c>
    </row>
    <row r="29" spans="2:18">
      <c r="B29" s="258"/>
      <c r="C29" s="78" t="s">
        <v>21</v>
      </c>
      <c r="D29" s="72">
        <f t="shared" si="9"/>
        <v>0</v>
      </c>
      <c r="E29" s="72" t="str">
        <f t="shared" si="9"/>
        <v>国保加入期間なし</v>
      </c>
      <c r="F29" s="73">
        <f t="shared" si="9"/>
        <v>0</v>
      </c>
      <c r="G29" s="63">
        <f t="shared" si="14"/>
        <v>0</v>
      </c>
      <c r="H29" s="53">
        <f t="shared" si="15"/>
        <v>0</v>
      </c>
      <c r="I29" s="77">
        <f t="shared" si="10"/>
        <v>0</v>
      </c>
      <c r="J29" s="74">
        <f t="shared" si="11"/>
        <v>0</v>
      </c>
      <c r="K29" s="75"/>
      <c r="L29" s="63">
        <f t="shared" si="12"/>
        <v>0</v>
      </c>
      <c r="M29" s="91"/>
      <c r="N29" s="87"/>
      <c r="O29" s="100">
        <f t="shared" si="13"/>
        <v>0</v>
      </c>
      <c r="P29" s="76"/>
      <c r="Q29" s="90">
        <f t="shared" si="16"/>
        <v>0</v>
      </c>
      <c r="R29" s="80" t="e">
        <f t="shared" ref="R29:R35" si="17">ROUNDDOWN(Q29/Q$37*N$37,0)</f>
        <v>#DIV/0!</v>
      </c>
    </row>
    <row r="30" spans="2:18">
      <c r="B30" s="258"/>
      <c r="C30" s="78" t="s">
        <v>22</v>
      </c>
      <c r="D30" s="72">
        <f t="shared" si="9"/>
        <v>0</v>
      </c>
      <c r="E30" s="72" t="str">
        <f t="shared" si="9"/>
        <v>国保加入期間なし</v>
      </c>
      <c r="F30" s="73">
        <f t="shared" si="9"/>
        <v>0</v>
      </c>
      <c r="G30" s="63">
        <f t="shared" si="14"/>
        <v>0</v>
      </c>
      <c r="H30" s="53">
        <f t="shared" si="15"/>
        <v>0</v>
      </c>
      <c r="I30" s="77">
        <f t="shared" si="10"/>
        <v>0</v>
      </c>
      <c r="J30" s="74">
        <f t="shared" si="11"/>
        <v>0</v>
      </c>
      <c r="K30" s="75"/>
      <c r="L30" s="63">
        <f t="shared" si="12"/>
        <v>0</v>
      </c>
      <c r="M30" s="91"/>
      <c r="N30" s="87"/>
      <c r="O30" s="100">
        <f t="shared" si="13"/>
        <v>0</v>
      </c>
      <c r="P30" s="76"/>
      <c r="Q30" s="90">
        <f t="shared" si="16"/>
        <v>0</v>
      </c>
      <c r="R30" s="80" t="e">
        <f t="shared" si="17"/>
        <v>#DIV/0!</v>
      </c>
    </row>
    <row r="31" spans="2:18">
      <c r="B31" s="258"/>
      <c r="C31" s="78" t="s">
        <v>23</v>
      </c>
      <c r="D31" s="72">
        <f t="shared" si="9"/>
        <v>0</v>
      </c>
      <c r="E31" s="72" t="str">
        <f t="shared" si="9"/>
        <v>国保加入期間なし</v>
      </c>
      <c r="F31" s="73">
        <f t="shared" si="9"/>
        <v>0</v>
      </c>
      <c r="G31" s="63">
        <f t="shared" si="14"/>
        <v>0</v>
      </c>
      <c r="H31" s="53">
        <f t="shared" si="15"/>
        <v>0</v>
      </c>
      <c r="I31" s="77">
        <f t="shared" si="10"/>
        <v>0</v>
      </c>
      <c r="J31" s="74">
        <f t="shared" si="11"/>
        <v>0</v>
      </c>
      <c r="K31" s="75"/>
      <c r="L31" s="63">
        <f t="shared" si="12"/>
        <v>0</v>
      </c>
      <c r="M31" s="91"/>
      <c r="N31" s="87"/>
      <c r="O31" s="100">
        <f t="shared" si="13"/>
        <v>0</v>
      </c>
      <c r="P31" s="76"/>
      <c r="Q31" s="90">
        <f t="shared" si="16"/>
        <v>0</v>
      </c>
      <c r="R31" s="80" t="e">
        <f t="shared" si="17"/>
        <v>#DIV/0!</v>
      </c>
    </row>
    <row r="32" spans="2:18">
      <c r="B32" s="258"/>
      <c r="C32" s="78" t="s">
        <v>69</v>
      </c>
      <c r="D32" s="72">
        <f t="shared" si="9"/>
        <v>0</v>
      </c>
      <c r="E32" s="72" t="str">
        <f t="shared" si="9"/>
        <v>国保加入期間なし</v>
      </c>
      <c r="F32" s="73">
        <f t="shared" si="9"/>
        <v>0</v>
      </c>
      <c r="G32" s="63">
        <f t="shared" si="14"/>
        <v>0</v>
      </c>
      <c r="H32" s="53">
        <f t="shared" si="15"/>
        <v>0</v>
      </c>
      <c r="I32" s="77">
        <f t="shared" si="10"/>
        <v>0</v>
      </c>
      <c r="J32" s="74">
        <f t="shared" si="11"/>
        <v>0</v>
      </c>
      <c r="K32" s="75"/>
      <c r="L32" s="63">
        <f t="shared" si="12"/>
        <v>0</v>
      </c>
      <c r="M32" s="91"/>
      <c r="N32" s="87"/>
      <c r="O32" s="100">
        <f t="shared" si="13"/>
        <v>0</v>
      </c>
      <c r="P32" s="76"/>
      <c r="Q32" s="90">
        <f t="shared" si="16"/>
        <v>0</v>
      </c>
      <c r="R32" s="80" t="e">
        <f t="shared" si="17"/>
        <v>#DIV/0!</v>
      </c>
    </row>
    <row r="33" spans="2:19">
      <c r="B33" s="258"/>
      <c r="C33" s="78" t="s">
        <v>70</v>
      </c>
      <c r="D33" s="72">
        <f t="shared" si="9"/>
        <v>0</v>
      </c>
      <c r="E33" s="72" t="str">
        <f t="shared" si="9"/>
        <v>国保加入期間なし</v>
      </c>
      <c r="F33" s="73">
        <f t="shared" si="9"/>
        <v>0</v>
      </c>
      <c r="G33" s="63">
        <f t="shared" si="14"/>
        <v>0</v>
      </c>
      <c r="H33" s="53">
        <f t="shared" si="15"/>
        <v>0</v>
      </c>
      <c r="I33" s="77">
        <f t="shared" si="10"/>
        <v>0</v>
      </c>
      <c r="J33" s="74">
        <f t="shared" si="11"/>
        <v>0</v>
      </c>
      <c r="K33" s="75"/>
      <c r="L33" s="63">
        <f t="shared" si="12"/>
        <v>0</v>
      </c>
      <c r="M33" s="91"/>
      <c r="N33" s="87"/>
      <c r="O33" s="100">
        <f t="shared" si="13"/>
        <v>0</v>
      </c>
      <c r="P33" s="76"/>
      <c r="Q33" s="90">
        <f t="shared" si="16"/>
        <v>0</v>
      </c>
      <c r="R33" s="80" t="e">
        <f t="shared" si="17"/>
        <v>#DIV/0!</v>
      </c>
    </row>
    <row r="34" spans="2:19">
      <c r="B34" s="258"/>
      <c r="C34" s="78" t="s">
        <v>71</v>
      </c>
      <c r="D34" s="72">
        <f t="shared" si="9"/>
        <v>0</v>
      </c>
      <c r="E34" s="72" t="str">
        <f t="shared" si="9"/>
        <v>国保加入期間なし</v>
      </c>
      <c r="F34" s="73">
        <f t="shared" si="9"/>
        <v>0</v>
      </c>
      <c r="G34" s="63">
        <f t="shared" si="14"/>
        <v>0</v>
      </c>
      <c r="H34" s="53">
        <f t="shared" si="15"/>
        <v>0</v>
      </c>
      <c r="I34" s="77">
        <f t="shared" si="10"/>
        <v>0</v>
      </c>
      <c r="J34" s="74">
        <f t="shared" si="11"/>
        <v>0</v>
      </c>
      <c r="K34" s="75"/>
      <c r="L34" s="63">
        <f t="shared" si="12"/>
        <v>0</v>
      </c>
      <c r="M34" s="91"/>
      <c r="N34" s="87"/>
      <c r="O34" s="100">
        <f t="shared" si="13"/>
        <v>0</v>
      </c>
      <c r="P34" s="76"/>
      <c r="Q34" s="90">
        <f t="shared" si="16"/>
        <v>0</v>
      </c>
      <c r="R34" s="80" t="e">
        <f t="shared" si="17"/>
        <v>#DIV/0!</v>
      </c>
    </row>
    <row r="35" spans="2:19">
      <c r="B35" s="258"/>
      <c r="C35" s="78" t="s">
        <v>72</v>
      </c>
      <c r="D35" s="72">
        <f t="shared" si="9"/>
        <v>0</v>
      </c>
      <c r="E35" s="72" t="str">
        <f t="shared" si="9"/>
        <v>国保加入期間なし</v>
      </c>
      <c r="F35" s="73">
        <f t="shared" si="9"/>
        <v>0</v>
      </c>
      <c r="G35" s="63">
        <f t="shared" si="14"/>
        <v>0</v>
      </c>
      <c r="H35" s="53">
        <f t="shared" si="15"/>
        <v>0</v>
      </c>
      <c r="I35" s="77">
        <f t="shared" si="10"/>
        <v>0</v>
      </c>
      <c r="J35" s="74">
        <f t="shared" si="11"/>
        <v>0</v>
      </c>
      <c r="K35" s="75"/>
      <c r="L35" s="63">
        <f t="shared" si="12"/>
        <v>0</v>
      </c>
      <c r="M35" s="91"/>
      <c r="N35" s="87"/>
      <c r="O35" s="100">
        <f t="shared" si="13"/>
        <v>0</v>
      </c>
      <c r="P35" s="76"/>
      <c r="Q35" s="90">
        <f t="shared" si="16"/>
        <v>0</v>
      </c>
      <c r="R35" s="80" t="e">
        <f t="shared" si="17"/>
        <v>#DIV/0!</v>
      </c>
    </row>
    <row r="36" spans="2:19" ht="14.25" thickBot="1">
      <c r="B36" s="258"/>
      <c r="C36" s="78" t="s">
        <v>73</v>
      </c>
      <c r="D36" s="72">
        <f t="shared" si="9"/>
        <v>0</v>
      </c>
      <c r="E36" s="72" t="str">
        <f t="shared" si="9"/>
        <v>国保加入期間なし</v>
      </c>
      <c r="F36" s="73">
        <f t="shared" si="9"/>
        <v>0</v>
      </c>
      <c r="G36" s="63">
        <f t="shared" si="14"/>
        <v>0</v>
      </c>
      <c r="H36" s="53">
        <f t="shared" si="15"/>
        <v>0</v>
      </c>
      <c r="I36" s="77">
        <f t="shared" si="10"/>
        <v>0</v>
      </c>
      <c r="J36" s="74">
        <f t="shared" si="11"/>
        <v>0</v>
      </c>
      <c r="K36" s="75"/>
      <c r="L36" s="63">
        <f t="shared" si="12"/>
        <v>0</v>
      </c>
      <c r="M36" s="91"/>
      <c r="N36" s="88"/>
      <c r="O36" s="100">
        <f t="shared" si="13"/>
        <v>0</v>
      </c>
      <c r="P36" s="76"/>
      <c r="Q36" s="90">
        <f t="shared" si="16"/>
        <v>0</v>
      </c>
      <c r="R36" s="80" t="e">
        <f>ROUNDDOWN(Q36/Q$37*N$37,0)</f>
        <v>#DIV/0!</v>
      </c>
    </row>
    <row r="37" spans="2:19" ht="14.25" thickBot="1">
      <c r="B37" s="258"/>
      <c r="C37" s="250" t="s">
        <v>68</v>
      </c>
      <c r="D37" s="251"/>
      <c r="E37" s="259"/>
      <c r="F37" s="73">
        <f>F24</f>
        <v>0</v>
      </c>
      <c r="G37" s="63">
        <f>SUM(G27:G36)</f>
        <v>0</v>
      </c>
      <c r="H37" s="53">
        <f>SUM(H27:H36)</f>
        <v>0</v>
      </c>
      <c r="I37" s="77">
        <f t="shared" si="10"/>
        <v>0</v>
      </c>
      <c r="J37" s="74">
        <f t="shared" si="11"/>
        <v>0</v>
      </c>
      <c r="K37" s="127">
        <f>G6*J5/12*J37</f>
        <v>0</v>
      </c>
      <c r="L37" s="179">
        <f>SUM(L27:L36)+K37</f>
        <v>0</v>
      </c>
      <c r="M37" s="69">
        <f>G7/12*J37</f>
        <v>0</v>
      </c>
      <c r="N37" s="89">
        <f>ROUNDDOWN(IF(L37&lt;M37,L37,M37),-2)</f>
        <v>0</v>
      </c>
      <c r="O37" s="101"/>
      <c r="P37" s="94"/>
      <c r="Q37" s="53">
        <f>SUM(Q27:Q36)</f>
        <v>0</v>
      </c>
      <c r="R37" s="92"/>
    </row>
    <row r="38" spans="2:19" ht="20.25" customHeight="1" thickBot="1">
      <c r="O38" s="97"/>
    </row>
    <row r="39" spans="2:19" ht="27">
      <c r="B39" s="258" t="s">
        <v>50</v>
      </c>
      <c r="C39" s="65"/>
      <c r="D39" s="81" t="s">
        <v>16</v>
      </c>
      <c r="E39" s="81" t="s">
        <v>56</v>
      </c>
      <c r="F39" s="81" t="s">
        <v>74</v>
      </c>
      <c r="G39" s="67" t="s">
        <v>146</v>
      </c>
      <c r="H39" s="67" t="s">
        <v>147</v>
      </c>
      <c r="I39" s="129" t="s">
        <v>144</v>
      </c>
      <c r="J39" s="67" t="s">
        <v>46</v>
      </c>
      <c r="K39" s="93" t="s">
        <v>81</v>
      </c>
      <c r="L39" s="129" t="s">
        <v>145</v>
      </c>
      <c r="M39" s="68" t="s">
        <v>75</v>
      </c>
      <c r="N39" s="86" t="s">
        <v>76</v>
      </c>
      <c r="O39" s="99" t="s">
        <v>80</v>
      </c>
      <c r="P39" s="93" t="s">
        <v>81</v>
      </c>
      <c r="Q39" s="67" t="s">
        <v>82</v>
      </c>
      <c r="R39" s="68" t="s">
        <v>78</v>
      </c>
      <c r="S39" s="70" t="s">
        <v>83</v>
      </c>
    </row>
    <row r="40" spans="2:19">
      <c r="B40" s="258"/>
      <c r="C40" s="78" t="s">
        <v>14</v>
      </c>
      <c r="D40" s="72">
        <f>D27</f>
        <v>0</v>
      </c>
      <c r="E40" s="72" t="str">
        <f t="shared" ref="E40" si="18">E27</f>
        <v>国保加入期間なし</v>
      </c>
      <c r="F40" s="53">
        <f>IF(E40=D$67,入力用!AE8,0)</f>
        <v>0</v>
      </c>
      <c r="G40" s="63">
        <f>F40*H$4</f>
        <v>0</v>
      </c>
      <c r="H40" s="53">
        <f>IF(E40=D$67,H$5*J$5,0)</f>
        <v>0</v>
      </c>
      <c r="I40" s="77">
        <f t="shared" ref="I40:I50" si="19">G40+H40</f>
        <v>0</v>
      </c>
      <c r="J40" s="131">
        <f>IF(E40=D$67,入力用!U$6,0)</f>
        <v>0</v>
      </c>
      <c r="K40" s="75"/>
      <c r="L40" s="63">
        <f t="shared" ref="L40:L49" si="20">I40/12*J40</f>
        <v>0</v>
      </c>
      <c r="M40" s="91"/>
      <c r="N40" s="87"/>
      <c r="O40" s="100">
        <f>ROUNDDOWN(G40/12*J40,0)</f>
        <v>0</v>
      </c>
      <c r="P40" s="76"/>
      <c r="Q40" s="85">
        <f t="shared" ref="Q40:Q49" si="21">H40/12*J40+O40</f>
        <v>0</v>
      </c>
      <c r="R40" s="96" t="e">
        <f>ROUNDDOWN(Q40/Q$50*N$50,0)</f>
        <v>#DIV/0!</v>
      </c>
      <c r="S40" s="80" t="e">
        <f>IF(R40=0,0,R40+R$51)</f>
        <v>#DIV/0!</v>
      </c>
    </row>
    <row r="41" spans="2:19">
      <c r="B41" s="258"/>
      <c r="C41" s="78" t="s">
        <v>15</v>
      </c>
      <c r="D41" s="72">
        <f t="shared" ref="D41:E41" si="22">D28</f>
        <v>0</v>
      </c>
      <c r="E41" s="72" t="str">
        <f t="shared" si="22"/>
        <v>国保加入期間なし</v>
      </c>
      <c r="F41" s="53">
        <f>IF(E41=D$67,入力用!AE9,0)</f>
        <v>0</v>
      </c>
      <c r="G41" s="63">
        <f t="shared" ref="G41:G48" si="23">F41*H$4</f>
        <v>0</v>
      </c>
      <c r="H41" s="53">
        <f t="shared" ref="H41:H49" si="24">IF(E41=D$67,H$5*J$5,0)</f>
        <v>0</v>
      </c>
      <c r="I41" s="77">
        <f t="shared" si="19"/>
        <v>0</v>
      </c>
      <c r="J41" s="131">
        <f>IF(E41=D$67,入力用!U$6,0)</f>
        <v>0</v>
      </c>
      <c r="K41" s="75"/>
      <c r="L41" s="63">
        <f t="shared" si="20"/>
        <v>0</v>
      </c>
      <c r="M41" s="91"/>
      <c r="N41" s="87"/>
      <c r="O41" s="100">
        <f t="shared" ref="O41:O49" si="25">ROUNDDOWN(G41/12*J41,0)</f>
        <v>0</v>
      </c>
      <c r="P41" s="76"/>
      <c r="Q41" s="85">
        <f t="shared" si="21"/>
        <v>0</v>
      </c>
      <c r="R41" s="96" t="e">
        <f>ROUNDDOWN(Q41/Q$50*N$50,0)</f>
        <v>#DIV/0!</v>
      </c>
      <c r="S41" s="80" t="e">
        <f>IF(R41=0,0,IF(R40=0,R41+R$51,R41))</f>
        <v>#DIV/0!</v>
      </c>
    </row>
    <row r="42" spans="2:19">
      <c r="B42" s="258"/>
      <c r="C42" s="78" t="s">
        <v>21</v>
      </c>
      <c r="D42" s="72">
        <f t="shared" ref="D42:E42" si="26">D29</f>
        <v>0</v>
      </c>
      <c r="E42" s="72" t="str">
        <f t="shared" si="26"/>
        <v>国保加入期間なし</v>
      </c>
      <c r="F42" s="53">
        <f>IF(E42=D$67,入力用!AE10,0)</f>
        <v>0</v>
      </c>
      <c r="G42" s="63">
        <f t="shared" si="23"/>
        <v>0</v>
      </c>
      <c r="H42" s="53">
        <f t="shared" si="24"/>
        <v>0</v>
      </c>
      <c r="I42" s="77">
        <f t="shared" si="19"/>
        <v>0</v>
      </c>
      <c r="J42" s="131">
        <f>IF(E42=D$67,入力用!U$6,0)</f>
        <v>0</v>
      </c>
      <c r="K42" s="75"/>
      <c r="L42" s="63">
        <f t="shared" si="20"/>
        <v>0</v>
      </c>
      <c r="M42" s="91"/>
      <c r="N42" s="87"/>
      <c r="O42" s="100">
        <f t="shared" si="25"/>
        <v>0</v>
      </c>
      <c r="P42" s="76"/>
      <c r="Q42" s="85">
        <f t="shared" si="21"/>
        <v>0</v>
      </c>
      <c r="R42" s="96" t="e">
        <f t="shared" ref="R42:R48" si="27">ROUNDDOWN(Q42/Q$50*N$50,0)</f>
        <v>#DIV/0!</v>
      </c>
      <c r="S42" s="80" t="e">
        <f>IF(R42=0,0,IF(SUM(R$40:R41)=0,R42+R$51,R42))</f>
        <v>#DIV/0!</v>
      </c>
    </row>
    <row r="43" spans="2:19">
      <c r="B43" s="258"/>
      <c r="C43" s="78" t="s">
        <v>22</v>
      </c>
      <c r="D43" s="72">
        <f t="shared" ref="D43:E43" si="28">D30</f>
        <v>0</v>
      </c>
      <c r="E43" s="72" t="str">
        <f t="shared" si="28"/>
        <v>国保加入期間なし</v>
      </c>
      <c r="F43" s="53">
        <f>IF(E43=D$67,入力用!AE11,0)</f>
        <v>0</v>
      </c>
      <c r="G43" s="63">
        <f t="shared" si="23"/>
        <v>0</v>
      </c>
      <c r="H43" s="53">
        <f t="shared" si="24"/>
        <v>0</v>
      </c>
      <c r="I43" s="77">
        <f t="shared" si="19"/>
        <v>0</v>
      </c>
      <c r="J43" s="131">
        <f>IF(E43=D$67,入力用!U$6,0)</f>
        <v>0</v>
      </c>
      <c r="K43" s="75"/>
      <c r="L43" s="63">
        <f t="shared" si="20"/>
        <v>0</v>
      </c>
      <c r="M43" s="91"/>
      <c r="N43" s="87"/>
      <c r="O43" s="100">
        <f t="shared" si="25"/>
        <v>0</v>
      </c>
      <c r="P43" s="76"/>
      <c r="Q43" s="85">
        <f t="shared" si="21"/>
        <v>0</v>
      </c>
      <c r="R43" s="96" t="e">
        <f t="shared" si="27"/>
        <v>#DIV/0!</v>
      </c>
      <c r="S43" s="80" t="e">
        <f>IF(R43=0,0,IF(SUM(R$40:R42)=0,R43+R$51,R43))</f>
        <v>#DIV/0!</v>
      </c>
    </row>
    <row r="44" spans="2:19">
      <c r="B44" s="258"/>
      <c r="C44" s="78" t="s">
        <v>23</v>
      </c>
      <c r="D44" s="72">
        <f t="shared" ref="D44:E44" si="29">D31</f>
        <v>0</v>
      </c>
      <c r="E44" s="72" t="str">
        <f t="shared" si="29"/>
        <v>国保加入期間なし</v>
      </c>
      <c r="F44" s="53">
        <f>IF(E44=D$67,入力用!AE12,0)</f>
        <v>0</v>
      </c>
      <c r="G44" s="63">
        <f t="shared" si="23"/>
        <v>0</v>
      </c>
      <c r="H44" s="53">
        <f t="shared" si="24"/>
        <v>0</v>
      </c>
      <c r="I44" s="77">
        <f t="shared" si="19"/>
        <v>0</v>
      </c>
      <c r="J44" s="131">
        <f>IF(E44=D$67,入力用!U$6,0)</f>
        <v>0</v>
      </c>
      <c r="K44" s="75"/>
      <c r="L44" s="63">
        <f t="shared" si="20"/>
        <v>0</v>
      </c>
      <c r="M44" s="91"/>
      <c r="N44" s="87"/>
      <c r="O44" s="100">
        <f t="shared" si="25"/>
        <v>0</v>
      </c>
      <c r="P44" s="76"/>
      <c r="Q44" s="85">
        <f t="shared" si="21"/>
        <v>0</v>
      </c>
      <c r="R44" s="96" t="e">
        <f t="shared" si="27"/>
        <v>#DIV/0!</v>
      </c>
      <c r="S44" s="80" t="e">
        <f>IF(R44=0,0,IF(SUM(R$40:R43)=0,R44+R$51,R44))</f>
        <v>#DIV/0!</v>
      </c>
    </row>
    <row r="45" spans="2:19">
      <c r="B45" s="258"/>
      <c r="C45" s="78" t="s">
        <v>69</v>
      </c>
      <c r="D45" s="72">
        <f t="shared" ref="D45:E45" si="30">D32</f>
        <v>0</v>
      </c>
      <c r="E45" s="72" t="str">
        <f t="shared" si="30"/>
        <v>国保加入期間なし</v>
      </c>
      <c r="F45" s="53">
        <f>IF(E45=D$67,入力用!AE13,0)</f>
        <v>0</v>
      </c>
      <c r="G45" s="63">
        <f t="shared" si="23"/>
        <v>0</v>
      </c>
      <c r="H45" s="53">
        <f t="shared" si="24"/>
        <v>0</v>
      </c>
      <c r="I45" s="77">
        <f t="shared" si="19"/>
        <v>0</v>
      </c>
      <c r="J45" s="131">
        <f>IF(E45=D$67,入力用!U$6,0)</f>
        <v>0</v>
      </c>
      <c r="K45" s="75"/>
      <c r="L45" s="63">
        <f t="shared" si="20"/>
        <v>0</v>
      </c>
      <c r="M45" s="91"/>
      <c r="N45" s="87"/>
      <c r="O45" s="100">
        <f t="shared" si="25"/>
        <v>0</v>
      </c>
      <c r="P45" s="76"/>
      <c r="Q45" s="85">
        <f t="shared" si="21"/>
        <v>0</v>
      </c>
      <c r="R45" s="96" t="e">
        <f t="shared" si="27"/>
        <v>#DIV/0!</v>
      </c>
      <c r="S45" s="80" t="e">
        <f>IF(R45=0,0,IF(SUM(R$40:R44)=0,R45+R$51,R45))</f>
        <v>#DIV/0!</v>
      </c>
    </row>
    <row r="46" spans="2:19">
      <c r="B46" s="258"/>
      <c r="C46" s="78" t="s">
        <v>70</v>
      </c>
      <c r="D46" s="72">
        <f t="shared" ref="D46:E46" si="31">D33</f>
        <v>0</v>
      </c>
      <c r="E46" s="72" t="str">
        <f t="shared" si="31"/>
        <v>国保加入期間なし</v>
      </c>
      <c r="F46" s="53">
        <f>IF(E46=D$67,入力用!AE14,0)</f>
        <v>0</v>
      </c>
      <c r="G46" s="63">
        <f t="shared" si="23"/>
        <v>0</v>
      </c>
      <c r="H46" s="53">
        <f t="shared" si="24"/>
        <v>0</v>
      </c>
      <c r="I46" s="77">
        <f t="shared" si="19"/>
        <v>0</v>
      </c>
      <c r="J46" s="131">
        <f>IF(E46=D$67,入力用!U$6,0)</f>
        <v>0</v>
      </c>
      <c r="K46" s="75"/>
      <c r="L46" s="63">
        <f t="shared" si="20"/>
        <v>0</v>
      </c>
      <c r="M46" s="91"/>
      <c r="N46" s="87"/>
      <c r="O46" s="100">
        <f t="shared" si="25"/>
        <v>0</v>
      </c>
      <c r="P46" s="76"/>
      <c r="Q46" s="85">
        <f t="shared" si="21"/>
        <v>0</v>
      </c>
      <c r="R46" s="96" t="e">
        <f t="shared" si="27"/>
        <v>#DIV/0!</v>
      </c>
      <c r="S46" s="80" t="e">
        <f>IF(R46=0,0,IF(SUM(R$40:R45)=0,R46+R$51,R46))</f>
        <v>#DIV/0!</v>
      </c>
    </row>
    <row r="47" spans="2:19">
      <c r="B47" s="258"/>
      <c r="C47" s="78" t="s">
        <v>71</v>
      </c>
      <c r="D47" s="72">
        <f t="shared" ref="D47:E47" si="32">D34</f>
        <v>0</v>
      </c>
      <c r="E47" s="72" t="str">
        <f t="shared" si="32"/>
        <v>国保加入期間なし</v>
      </c>
      <c r="F47" s="53">
        <f>IF(E47=D$67,入力用!AE15,0)</f>
        <v>0</v>
      </c>
      <c r="G47" s="63">
        <f t="shared" si="23"/>
        <v>0</v>
      </c>
      <c r="H47" s="53">
        <f t="shared" si="24"/>
        <v>0</v>
      </c>
      <c r="I47" s="77">
        <f t="shared" si="19"/>
        <v>0</v>
      </c>
      <c r="J47" s="131">
        <f>IF(E47=D$67,入力用!U$6,0)</f>
        <v>0</v>
      </c>
      <c r="K47" s="75"/>
      <c r="L47" s="63">
        <f t="shared" si="20"/>
        <v>0</v>
      </c>
      <c r="M47" s="91"/>
      <c r="N47" s="87"/>
      <c r="O47" s="100">
        <f t="shared" si="25"/>
        <v>0</v>
      </c>
      <c r="P47" s="76"/>
      <c r="Q47" s="85">
        <f t="shared" si="21"/>
        <v>0</v>
      </c>
      <c r="R47" s="96" t="e">
        <f t="shared" si="27"/>
        <v>#DIV/0!</v>
      </c>
      <c r="S47" s="80" t="e">
        <f>IF(R47=0,0,IF(SUM(R$40:R46)=0,R47+R$51,R47))</f>
        <v>#DIV/0!</v>
      </c>
    </row>
    <row r="48" spans="2:19">
      <c r="B48" s="258"/>
      <c r="C48" s="78" t="s">
        <v>72</v>
      </c>
      <c r="D48" s="72">
        <f t="shared" ref="D48:E48" si="33">D35</f>
        <v>0</v>
      </c>
      <c r="E48" s="72" t="str">
        <f t="shared" si="33"/>
        <v>国保加入期間なし</v>
      </c>
      <c r="F48" s="53">
        <f>IF(E48=D$67,入力用!AE16,0)</f>
        <v>0</v>
      </c>
      <c r="G48" s="63">
        <f t="shared" si="23"/>
        <v>0</v>
      </c>
      <c r="H48" s="53">
        <f t="shared" si="24"/>
        <v>0</v>
      </c>
      <c r="I48" s="77">
        <f t="shared" si="19"/>
        <v>0</v>
      </c>
      <c r="J48" s="131">
        <f>IF(E48=D$67,入力用!U$6,0)</f>
        <v>0</v>
      </c>
      <c r="K48" s="75"/>
      <c r="L48" s="63">
        <f t="shared" si="20"/>
        <v>0</v>
      </c>
      <c r="M48" s="91"/>
      <c r="N48" s="87"/>
      <c r="O48" s="100">
        <f t="shared" si="25"/>
        <v>0</v>
      </c>
      <c r="P48" s="76"/>
      <c r="Q48" s="85">
        <f t="shared" si="21"/>
        <v>0</v>
      </c>
      <c r="R48" s="96" t="e">
        <f t="shared" si="27"/>
        <v>#DIV/0!</v>
      </c>
      <c r="S48" s="80" t="e">
        <f>IF(R48=0,0,IF(SUM(R$40:R47)=0,R48+R$51,R48))</f>
        <v>#DIV/0!</v>
      </c>
    </row>
    <row r="49" spans="2:19" ht="14.25" thickBot="1">
      <c r="B49" s="258"/>
      <c r="C49" s="78" t="s">
        <v>73</v>
      </c>
      <c r="D49" s="72">
        <f t="shared" ref="D49:E49" si="34">D36</f>
        <v>0</v>
      </c>
      <c r="E49" s="72" t="str">
        <f t="shared" si="34"/>
        <v>国保加入期間なし</v>
      </c>
      <c r="F49" s="53">
        <f>IF(E49=D$67,入力用!AE17,0)</f>
        <v>0</v>
      </c>
      <c r="G49" s="63">
        <f>F49*H$4</f>
        <v>0</v>
      </c>
      <c r="H49" s="53">
        <f t="shared" si="24"/>
        <v>0</v>
      </c>
      <c r="I49" s="77">
        <f t="shared" si="19"/>
        <v>0</v>
      </c>
      <c r="J49" s="131">
        <f>IF(E49=D$67,入力用!U$6,0)</f>
        <v>0</v>
      </c>
      <c r="K49" s="75"/>
      <c r="L49" s="63">
        <f t="shared" si="20"/>
        <v>0</v>
      </c>
      <c r="M49" s="91"/>
      <c r="N49" s="88"/>
      <c r="O49" s="100">
        <f t="shared" si="25"/>
        <v>0</v>
      </c>
      <c r="P49" s="76"/>
      <c r="Q49" s="85">
        <f t="shared" si="21"/>
        <v>0</v>
      </c>
      <c r="R49" s="96" t="e">
        <f>ROUNDDOWN(Q49/Q$50*N$50,0)</f>
        <v>#DIV/0!</v>
      </c>
      <c r="S49" s="80" t="e">
        <f>IF(R49=0,0,IF(SUM(R$40:R48)=0,R49+R$51,R49))</f>
        <v>#DIV/0!</v>
      </c>
    </row>
    <row r="50" spans="2:19" ht="14.25" thickBot="1">
      <c r="B50" s="258"/>
      <c r="C50" s="250" t="s">
        <v>68</v>
      </c>
      <c r="D50" s="251"/>
      <c r="E50" s="259"/>
      <c r="F50" s="53">
        <f>SUM(F40:F49)</f>
        <v>0</v>
      </c>
      <c r="G50" s="63">
        <f>SUM(G40:G49)</f>
        <v>0</v>
      </c>
      <c r="H50" s="53">
        <f>SUM(H40:H49)</f>
        <v>0</v>
      </c>
      <c r="I50" s="77">
        <f t="shared" si="19"/>
        <v>0</v>
      </c>
      <c r="J50" s="64">
        <f>MAX(J40:J49)</f>
        <v>0</v>
      </c>
      <c r="K50" s="127">
        <f>H6*J5/12*J50</f>
        <v>0</v>
      </c>
      <c r="L50" s="179">
        <f>SUM(L40:L49)+K50</f>
        <v>0</v>
      </c>
      <c r="M50" s="69">
        <f>H7/12*J50</f>
        <v>0</v>
      </c>
      <c r="N50" s="89">
        <f>ROUNDDOWN(IF(L50&lt;M50,L50,M50),-2)</f>
        <v>0</v>
      </c>
      <c r="O50" s="101"/>
      <c r="P50" s="94"/>
      <c r="Q50" s="53">
        <f>SUM(Q40:Q49)</f>
        <v>0</v>
      </c>
      <c r="R50" s="82" t="e">
        <f>SUM(R40:R49)</f>
        <v>#DIV/0!</v>
      </c>
      <c r="S50" s="92"/>
    </row>
    <row r="51" spans="2:19">
      <c r="O51" s="97"/>
      <c r="R51" s="83" t="e">
        <f>N50-R50</f>
        <v>#DIV/0!</v>
      </c>
      <c r="S51" s="79"/>
    </row>
    <row r="52" spans="2:19" ht="14.25" thickBot="1">
      <c r="O52" s="97"/>
      <c r="R52" s="84" t="s">
        <v>77</v>
      </c>
      <c r="S52" s="79"/>
    </row>
    <row r="56" spans="2:19" ht="19.5" customHeight="1">
      <c r="B56" s="106" t="s">
        <v>84</v>
      </c>
    </row>
    <row r="57" spans="2:19" ht="45.75" customHeight="1">
      <c r="B57" s="263" t="s">
        <v>66</v>
      </c>
      <c r="C57" s="264"/>
      <c r="D57" s="247" t="s">
        <v>85</v>
      </c>
      <c r="E57" s="248"/>
      <c r="F57" s="248"/>
      <c r="G57" s="248"/>
      <c r="H57" s="248"/>
      <c r="I57" s="248"/>
      <c r="J57" s="249"/>
    </row>
    <row r="58" spans="2:19" ht="18.75" customHeight="1">
      <c r="B58" s="241">
        <f>DATE(B4+1,4,1)</f>
        <v>46113</v>
      </c>
      <c r="C58" s="242"/>
      <c r="D58" s="104" t="s">
        <v>67</v>
      </c>
      <c r="E58" s="102"/>
      <c r="F58" s="102"/>
      <c r="G58" s="102"/>
      <c r="H58" s="102"/>
      <c r="I58" s="102"/>
      <c r="J58" s="103"/>
    </row>
    <row r="59" spans="2:19" ht="5.25" customHeight="1"/>
    <row r="60" spans="2:19" ht="45.75" customHeight="1">
      <c r="B60" s="245" t="s">
        <v>57</v>
      </c>
      <c r="C60" s="246"/>
      <c r="D60" s="247" t="s">
        <v>86</v>
      </c>
      <c r="E60" s="248"/>
      <c r="F60" s="248"/>
      <c r="G60" s="248"/>
      <c r="H60" s="248"/>
      <c r="I60" s="248"/>
      <c r="J60" s="249"/>
    </row>
    <row r="61" spans="2:19" ht="18.75" customHeight="1">
      <c r="B61" s="241">
        <f>DATE(B4-6,4,1)</f>
        <v>43556</v>
      </c>
      <c r="C61" s="242"/>
      <c r="D61" s="104" t="s">
        <v>62</v>
      </c>
      <c r="E61" s="102"/>
      <c r="F61" s="102"/>
      <c r="G61" s="102"/>
      <c r="H61" s="102"/>
      <c r="I61" s="102"/>
      <c r="J61" s="103"/>
    </row>
    <row r="62" spans="2:19" ht="5.25" customHeight="1"/>
    <row r="63" spans="2:19" ht="45.75" customHeight="1">
      <c r="B63" s="245" t="s">
        <v>60</v>
      </c>
      <c r="C63" s="246"/>
      <c r="D63" s="247" t="s">
        <v>87</v>
      </c>
      <c r="E63" s="248"/>
      <c r="F63" s="248"/>
      <c r="G63" s="248"/>
      <c r="H63" s="248"/>
      <c r="I63" s="248"/>
      <c r="J63" s="249"/>
    </row>
    <row r="64" spans="2:19" ht="18.75" customHeight="1">
      <c r="B64" s="243">
        <f>DATE(B4-39,4,1)</f>
        <v>31503</v>
      </c>
      <c r="C64" s="244"/>
      <c r="D64" s="104" t="s">
        <v>63</v>
      </c>
      <c r="E64" s="102"/>
      <c r="F64" s="102"/>
      <c r="G64" s="102"/>
      <c r="H64" s="102"/>
      <c r="I64" s="102"/>
      <c r="J64" s="103"/>
    </row>
    <row r="65" spans="2:23" ht="5.25" customHeight="1"/>
    <row r="66" spans="2:23" ht="45.75" customHeight="1">
      <c r="B66" s="245" t="s">
        <v>61</v>
      </c>
      <c r="C66" s="246"/>
      <c r="D66" s="247" t="s">
        <v>88</v>
      </c>
      <c r="E66" s="248"/>
      <c r="F66" s="248"/>
      <c r="G66" s="248"/>
      <c r="H66" s="248"/>
      <c r="I66" s="248"/>
      <c r="J66" s="249"/>
    </row>
    <row r="67" spans="2:23" ht="18.75" customHeight="1">
      <c r="B67" s="243">
        <f>DATE(B4-65,5,1)</f>
        <v>22037</v>
      </c>
      <c r="C67" s="244"/>
      <c r="D67" s="105" t="s">
        <v>65</v>
      </c>
      <c r="E67" s="102"/>
      <c r="F67" s="102"/>
      <c r="G67" s="102"/>
      <c r="H67" s="102"/>
      <c r="I67" s="102"/>
      <c r="J67" s="103"/>
    </row>
    <row r="68" spans="2:23" ht="5.25" customHeight="1"/>
    <row r="69" spans="2:23" ht="45.75" customHeight="1">
      <c r="B69" s="245" t="s">
        <v>64</v>
      </c>
      <c r="C69" s="246"/>
      <c r="D69" s="247" t="s">
        <v>89</v>
      </c>
      <c r="E69" s="248"/>
      <c r="F69" s="248"/>
      <c r="G69" s="248"/>
      <c r="H69" s="248"/>
      <c r="I69" s="248"/>
      <c r="J69" s="249"/>
    </row>
    <row r="70" spans="2:23" ht="18.75" customHeight="1">
      <c r="B70" s="243">
        <f>DATE(B4-75,5,1)</f>
        <v>18384</v>
      </c>
      <c r="C70" s="244"/>
      <c r="D70" s="104" t="s">
        <v>67</v>
      </c>
      <c r="E70" s="102"/>
      <c r="F70" s="102"/>
      <c r="G70" s="102"/>
      <c r="H70" s="102"/>
      <c r="I70" s="102"/>
      <c r="J70" s="103"/>
    </row>
    <row r="72" spans="2:23" ht="18.75" customHeight="1"/>
    <row r="73" spans="2:23" ht="18.75" customHeight="1"/>
    <row r="74" spans="2:23" ht="18.75" customHeight="1"/>
    <row r="75" spans="2:23" ht="18.75" customHeight="1"/>
    <row r="76" spans="2:23" ht="18.75" customHeight="1"/>
    <row r="77" spans="2:23" ht="18.75" customHeight="1"/>
    <row r="78" spans="2:23">
      <c r="W78" s="46"/>
    </row>
    <row r="79" spans="2:23">
      <c r="W79" s="46"/>
    </row>
    <row r="80" spans="2:23">
      <c r="W80" s="46"/>
    </row>
  </sheetData>
  <sheetProtection password="C65F" sheet="1" objects="1" scenarios="1" selectLockedCells="1" selectUnlockedCells="1"/>
  <mergeCells count="27">
    <mergeCell ref="L3:M3"/>
    <mergeCell ref="B70:C70"/>
    <mergeCell ref="B39:B50"/>
    <mergeCell ref="C50:E50"/>
    <mergeCell ref="B13:B24"/>
    <mergeCell ref="C24:E24"/>
    <mergeCell ref="B3:C3"/>
    <mergeCell ref="B26:B37"/>
    <mergeCell ref="C37:E37"/>
    <mergeCell ref="B4:C4"/>
    <mergeCell ref="B69:C69"/>
    <mergeCell ref="D57:J57"/>
    <mergeCell ref="B57:C57"/>
    <mergeCell ref="D69:J69"/>
    <mergeCell ref="D66:J66"/>
    <mergeCell ref="D63:J63"/>
    <mergeCell ref="D60:J60"/>
    <mergeCell ref="J3:K3"/>
    <mergeCell ref="J4:K4"/>
    <mergeCell ref="J5:K5"/>
    <mergeCell ref="B58:C58"/>
    <mergeCell ref="B61:C61"/>
    <mergeCell ref="B64:C64"/>
    <mergeCell ref="B67:C67"/>
    <mergeCell ref="B60:C60"/>
    <mergeCell ref="B63:C63"/>
    <mergeCell ref="B66:C66"/>
  </mergeCells>
  <phoneticPr fontId="1"/>
  <dataValidations count="1">
    <dataValidation type="list" allowBlank="1" showInputMessage="1" showErrorMessage="1" sqref="J4:K4">
      <formula1>$L$4:$L$7</formula1>
    </dataValidation>
  </dataValidations>
  <pageMargins left="0.7" right="0.7" top="0.75" bottom="0.75" header="0.3" footer="0.3"/>
  <pageSetup paperSize="9" scale="70"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1"/>
  </sheetPr>
  <dimension ref="B2:L16"/>
  <sheetViews>
    <sheetView showGridLines="0" topLeftCell="BA1" zoomScale="85" zoomScaleNormal="85" workbookViewId="0">
      <selection sqref="A1:AZ1048576"/>
    </sheetView>
  </sheetViews>
  <sheetFormatPr defaultRowHeight="21" customHeight="1"/>
  <cols>
    <col min="1" max="10" width="0" hidden="1" customWidth="1"/>
    <col min="11" max="11" width="9.875" hidden="1" customWidth="1"/>
    <col min="12" max="12" width="9" hidden="1" customWidth="1"/>
    <col min="13" max="52" width="0" hidden="1" customWidth="1"/>
  </cols>
  <sheetData>
    <row r="2" spans="2:11" ht="21" customHeight="1">
      <c r="B2" s="1" t="s">
        <v>33</v>
      </c>
    </row>
    <row r="3" spans="2:11" ht="21" customHeight="1">
      <c r="B3" s="95" t="s">
        <v>143</v>
      </c>
      <c r="C3" s="53">
        <f>入力用!N38</f>
        <v>0</v>
      </c>
    </row>
    <row r="4" spans="2:11" ht="21" customHeight="1">
      <c r="B4" s="65"/>
      <c r="C4" s="95" t="s">
        <v>135</v>
      </c>
      <c r="D4" s="95" t="s">
        <v>136</v>
      </c>
      <c r="E4" s="95" t="s">
        <v>137</v>
      </c>
      <c r="F4" s="95" t="s">
        <v>138</v>
      </c>
      <c r="G4" s="95" t="s">
        <v>139</v>
      </c>
      <c r="H4" s="95" t="s">
        <v>140</v>
      </c>
      <c r="I4" s="95" t="s">
        <v>141</v>
      </c>
      <c r="J4" s="95" t="s">
        <v>142</v>
      </c>
      <c r="K4" s="181" t="s">
        <v>186</v>
      </c>
    </row>
    <row r="5" spans="2:11" ht="21" customHeight="1">
      <c r="B5" s="95">
        <v>4</v>
      </c>
      <c r="C5" s="127">
        <f>$C$3-SUM(D5:$K5)</f>
        <v>0</v>
      </c>
      <c r="D5" s="127">
        <f t="shared" ref="D5:H5" si="0">$J5</f>
        <v>0</v>
      </c>
      <c r="E5" s="127">
        <f t="shared" si="0"/>
        <v>0</v>
      </c>
      <c r="F5" s="127">
        <f t="shared" si="0"/>
        <v>0</v>
      </c>
      <c r="G5" s="127">
        <f t="shared" si="0"/>
        <v>0</v>
      </c>
      <c r="H5" s="127">
        <f t="shared" si="0"/>
        <v>0</v>
      </c>
      <c r="I5" s="127">
        <f>$J5</f>
        <v>0</v>
      </c>
      <c r="J5" s="127">
        <f>ROUNDDOWN(C$3/8,-2)</f>
        <v>0</v>
      </c>
      <c r="K5" s="128">
        <v>0</v>
      </c>
    </row>
    <row r="6" spans="2:11" ht="21" customHeight="1">
      <c r="B6" s="95">
        <v>5</v>
      </c>
      <c r="C6" s="127">
        <f>C5</f>
        <v>0</v>
      </c>
      <c r="D6" s="127">
        <f t="shared" ref="D6:J6" si="1">D5</f>
        <v>0</v>
      </c>
      <c r="E6" s="127">
        <f t="shared" si="1"/>
        <v>0</v>
      </c>
      <c r="F6" s="127">
        <f t="shared" si="1"/>
        <v>0</v>
      </c>
      <c r="G6" s="127">
        <f t="shared" si="1"/>
        <v>0</v>
      </c>
      <c r="H6" s="127">
        <f t="shared" si="1"/>
        <v>0</v>
      </c>
      <c r="I6" s="127">
        <f t="shared" si="1"/>
        <v>0</v>
      </c>
      <c r="J6" s="127">
        <f t="shared" si="1"/>
        <v>0</v>
      </c>
      <c r="K6" s="128">
        <v>0</v>
      </c>
    </row>
    <row r="7" spans="2:11" ht="21" customHeight="1">
      <c r="B7" s="95">
        <v>6</v>
      </c>
      <c r="C7" s="127">
        <f>C5</f>
        <v>0</v>
      </c>
      <c r="D7" s="127">
        <f t="shared" ref="D7:J7" si="2">D5</f>
        <v>0</v>
      </c>
      <c r="E7" s="127">
        <f t="shared" si="2"/>
        <v>0</v>
      </c>
      <c r="F7" s="127">
        <f t="shared" si="2"/>
        <v>0</v>
      </c>
      <c r="G7" s="127">
        <f t="shared" si="2"/>
        <v>0</v>
      </c>
      <c r="H7" s="127">
        <f t="shared" si="2"/>
        <v>0</v>
      </c>
      <c r="I7" s="127">
        <f t="shared" si="2"/>
        <v>0</v>
      </c>
      <c r="J7" s="127">
        <f t="shared" si="2"/>
        <v>0</v>
      </c>
      <c r="K7" s="128">
        <v>0</v>
      </c>
    </row>
    <row r="8" spans="2:11" ht="21" customHeight="1">
      <c r="B8" s="95">
        <v>7</v>
      </c>
      <c r="C8" s="128">
        <v>0</v>
      </c>
      <c r="D8" s="127">
        <f>$C$3-SUM(E8:$K8)</f>
        <v>0</v>
      </c>
      <c r="E8" s="127">
        <f t="shared" ref="E8:H10" si="3">$J8</f>
        <v>0</v>
      </c>
      <c r="F8" s="127">
        <f t="shared" si="3"/>
        <v>0</v>
      </c>
      <c r="G8" s="127">
        <f t="shared" si="3"/>
        <v>0</v>
      </c>
      <c r="H8" s="127">
        <f t="shared" si="3"/>
        <v>0</v>
      </c>
      <c r="I8" s="127">
        <f>$J8</f>
        <v>0</v>
      </c>
      <c r="J8" s="127">
        <f>ROUNDDOWN(C$3/7,-2)</f>
        <v>0</v>
      </c>
      <c r="K8" s="128">
        <v>0</v>
      </c>
    </row>
    <row r="9" spans="2:11" ht="21" customHeight="1">
      <c r="B9" s="95">
        <v>8</v>
      </c>
      <c r="C9" s="128">
        <v>0</v>
      </c>
      <c r="D9" s="128">
        <v>0</v>
      </c>
      <c r="E9" s="127">
        <f>$C$3-SUM(F9:$K9)</f>
        <v>0</v>
      </c>
      <c r="F9" s="127">
        <f t="shared" si="3"/>
        <v>0</v>
      </c>
      <c r="G9" s="127">
        <f t="shared" si="3"/>
        <v>0</v>
      </c>
      <c r="H9" s="127">
        <f t="shared" si="3"/>
        <v>0</v>
      </c>
      <c r="I9" s="127">
        <f>$J9</f>
        <v>0</v>
      </c>
      <c r="J9" s="127">
        <f>ROUNDDOWN(C$3/6,-2)</f>
        <v>0</v>
      </c>
      <c r="K9" s="128">
        <v>0</v>
      </c>
    </row>
    <row r="10" spans="2:11" ht="21" customHeight="1">
      <c r="B10" s="95">
        <v>9</v>
      </c>
      <c r="C10" s="128">
        <v>0</v>
      </c>
      <c r="D10" s="128">
        <v>0</v>
      </c>
      <c r="E10" s="128">
        <v>0</v>
      </c>
      <c r="F10" s="127">
        <f>$C$3-SUM(G10:$K10)</f>
        <v>0</v>
      </c>
      <c r="G10" s="127">
        <f t="shared" si="3"/>
        <v>0</v>
      </c>
      <c r="H10" s="127">
        <f t="shared" si="3"/>
        <v>0</v>
      </c>
      <c r="I10" s="127">
        <f>$J10</f>
        <v>0</v>
      </c>
      <c r="J10" s="127">
        <f>ROUNDDOWN(C$3/5,-2)</f>
        <v>0</v>
      </c>
      <c r="K10" s="128">
        <v>0</v>
      </c>
    </row>
    <row r="11" spans="2:11" ht="21" customHeight="1">
      <c r="B11" s="95">
        <v>10</v>
      </c>
      <c r="C11" s="128">
        <v>0</v>
      </c>
      <c r="D11" s="128">
        <v>0</v>
      </c>
      <c r="E11" s="128">
        <v>0</v>
      </c>
      <c r="F11" s="128">
        <v>0</v>
      </c>
      <c r="G11" s="127">
        <f>$C$3-SUM(H11:$K11)</f>
        <v>0</v>
      </c>
      <c r="H11" s="127">
        <f>$J11</f>
        <v>0</v>
      </c>
      <c r="I11" s="127">
        <f>$J11</f>
        <v>0</v>
      </c>
      <c r="J11" s="127">
        <f>ROUNDDOWN(C$3/4,-2)</f>
        <v>0</v>
      </c>
      <c r="K11" s="128">
        <v>0</v>
      </c>
    </row>
    <row r="12" spans="2:11" ht="21" customHeight="1">
      <c r="B12" s="95">
        <v>11</v>
      </c>
      <c r="C12" s="128">
        <v>0</v>
      </c>
      <c r="D12" s="128">
        <v>0</v>
      </c>
      <c r="E12" s="128">
        <v>0</v>
      </c>
      <c r="F12" s="128">
        <v>0</v>
      </c>
      <c r="G12" s="128">
        <v>0</v>
      </c>
      <c r="H12" s="127">
        <f>$C$3-SUM(I12:$K12)</f>
        <v>0</v>
      </c>
      <c r="I12" s="127">
        <f>J12</f>
        <v>0</v>
      </c>
      <c r="J12" s="127">
        <f>ROUNDDOWN(C$3/3,-2)</f>
        <v>0</v>
      </c>
      <c r="K12" s="128">
        <v>0</v>
      </c>
    </row>
    <row r="13" spans="2:11" ht="21" customHeight="1">
      <c r="B13" s="95">
        <v>12</v>
      </c>
      <c r="C13" s="128">
        <v>0</v>
      </c>
      <c r="D13" s="128">
        <v>0</v>
      </c>
      <c r="E13" s="128">
        <v>0</v>
      </c>
      <c r="F13" s="128">
        <v>0</v>
      </c>
      <c r="G13" s="128">
        <v>0</v>
      </c>
      <c r="H13" s="128">
        <v>0</v>
      </c>
      <c r="I13" s="127">
        <f>$C$3-SUM(J13:$K13)</f>
        <v>0</v>
      </c>
      <c r="J13" s="127">
        <f>ROUNDDOWN(C$3/2,-2)</f>
        <v>0</v>
      </c>
      <c r="K13" s="128">
        <v>0</v>
      </c>
    </row>
    <row r="14" spans="2:11" ht="21" customHeight="1">
      <c r="B14" s="95" t="s">
        <v>132</v>
      </c>
      <c r="C14" s="128">
        <v>0</v>
      </c>
      <c r="D14" s="128">
        <v>0</v>
      </c>
      <c r="E14" s="128">
        <v>0</v>
      </c>
      <c r="F14" s="128">
        <v>0</v>
      </c>
      <c r="G14" s="128">
        <v>0</v>
      </c>
      <c r="H14" s="128">
        <v>0</v>
      </c>
      <c r="I14" s="128">
        <v>0</v>
      </c>
      <c r="J14" s="127">
        <f>C3</f>
        <v>0</v>
      </c>
      <c r="K14" s="128">
        <v>0</v>
      </c>
    </row>
    <row r="15" spans="2:11" ht="21" customHeight="1">
      <c r="B15" s="95" t="s">
        <v>133</v>
      </c>
      <c r="C15" s="128">
        <v>0</v>
      </c>
      <c r="D15" s="128">
        <v>0</v>
      </c>
      <c r="E15" s="128">
        <v>0</v>
      </c>
      <c r="F15" s="128">
        <v>0</v>
      </c>
      <c r="G15" s="128">
        <v>0</v>
      </c>
      <c r="H15" s="128">
        <v>0</v>
      </c>
      <c r="I15" s="128">
        <v>0</v>
      </c>
      <c r="J15" s="128">
        <v>0</v>
      </c>
      <c r="K15" s="127">
        <f>C3</f>
        <v>0</v>
      </c>
    </row>
    <row r="16" spans="2:11" ht="21" customHeight="1">
      <c r="B16" s="95" t="s">
        <v>134</v>
      </c>
      <c r="C16" s="128">
        <v>0</v>
      </c>
      <c r="D16" s="128">
        <v>0</v>
      </c>
      <c r="E16" s="128">
        <v>0</v>
      </c>
      <c r="F16" s="128">
        <v>0</v>
      </c>
      <c r="G16" s="128">
        <v>0</v>
      </c>
      <c r="H16" s="128">
        <v>0</v>
      </c>
      <c r="I16" s="128">
        <v>0</v>
      </c>
      <c r="J16" s="128">
        <v>0</v>
      </c>
      <c r="K16" s="127">
        <f>C3</f>
        <v>0</v>
      </c>
    </row>
  </sheetData>
  <sheetProtection password="C65F" sheet="1" objects="1" scenarios="1" selectLockedCells="1" selectUnlockedCells="1"/>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T25"/>
  <sheetViews>
    <sheetView showGridLines="0" topLeftCell="BA1" zoomScale="85" zoomScaleNormal="85" workbookViewId="0">
      <selection sqref="A1:AZ1048576"/>
    </sheetView>
  </sheetViews>
  <sheetFormatPr defaultRowHeight="20.25" customHeight="1"/>
  <cols>
    <col min="1" max="1" width="2.5" style="1" hidden="1" customWidth="1"/>
    <col min="2" max="2" width="10" style="1" hidden="1" customWidth="1"/>
    <col min="3" max="3" width="3.875" style="1" hidden="1" customWidth="1"/>
    <col min="4" max="4" width="10" style="1" hidden="1" customWidth="1"/>
    <col min="5" max="5" width="5.75" style="3" hidden="1" customWidth="1"/>
    <col min="6" max="6" width="4.5" style="3" hidden="1" customWidth="1"/>
    <col min="7" max="7" width="4.375" style="4" hidden="1" customWidth="1"/>
    <col min="8" max="8" width="4.5" style="1" hidden="1" customWidth="1"/>
    <col min="9" max="9" width="3.5" style="2" hidden="1" customWidth="1"/>
    <col min="10" max="10" width="11" style="1" hidden="1" customWidth="1"/>
    <col min="11" max="15" width="11.125" style="1" hidden="1" customWidth="1"/>
    <col min="16" max="20" width="11.25" style="1" hidden="1" customWidth="1"/>
    <col min="21" max="52" width="0" style="1" hidden="1" customWidth="1"/>
    <col min="53" max="16384" width="9" style="1"/>
  </cols>
  <sheetData>
    <row r="1" spans="2:20" ht="20.25" customHeight="1">
      <c r="I1" s="48"/>
    </row>
    <row r="2" spans="2:20" ht="20.25" customHeight="1">
      <c r="B2" s="1" t="s">
        <v>33</v>
      </c>
    </row>
    <row r="3" spans="2:20" ht="20.25" customHeight="1" thickBot="1">
      <c r="B3" s="49" t="s">
        <v>58</v>
      </c>
      <c r="C3" s="273">
        <f>入力用!S2</f>
        <v>2025</v>
      </c>
      <c r="D3" s="273"/>
      <c r="K3" s="34" t="s">
        <v>14</v>
      </c>
      <c r="L3" s="34" t="s">
        <v>15</v>
      </c>
      <c r="M3" s="34" t="s">
        <v>21</v>
      </c>
      <c r="N3" s="34" t="s">
        <v>22</v>
      </c>
      <c r="O3" s="34" t="s">
        <v>23</v>
      </c>
      <c r="P3" s="34" t="s">
        <v>69</v>
      </c>
      <c r="Q3" s="34" t="s">
        <v>70</v>
      </c>
      <c r="R3" s="34" t="s">
        <v>71</v>
      </c>
      <c r="S3" s="34" t="s">
        <v>72</v>
      </c>
      <c r="T3" s="34" t="s">
        <v>73</v>
      </c>
    </row>
    <row r="4" spans="2:20" ht="20.25" customHeight="1" thickBot="1">
      <c r="B4"/>
      <c r="C4"/>
      <c r="D4"/>
      <c r="E4"/>
      <c r="F4"/>
      <c r="G4"/>
      <c r="H4" s="270" t="s">
        <v>32</v>
      </c>
      <c r="I4" s="271"/>
      <c r="J4" s="272"/>
      <c r="K4" s="32">
        <f>入力用!$L8</f>
        <v>0</v>
      </c>
      <c r="L4" s="32">
        <f>入力用!$L9</f>
        <v>0</v>
      </c>
      <c r="M4" s="32">
        <f>入力用!$L10</f>
        <v>0</v>
      </c>
      <c r="N4" s="32">
        <f>入力用!$L11</f>
        <v>0</v>
      </c>
      <c r="O4" s="54">
        <f>入力用!$L12</f>
        <v>0</v>
      </c>
      <c r="P4" s="32">
        <f>入力用!$L13</f>
        <v>0</v>
      </c>
      <c r="Q4" s="32">
        <f>入力用!$L14</f>
        <v>0</v>
      </c>
      <c r="R4" s="32">
        <f>入力用!$L15</f>
        <v>0</v>
      </c>
      <c r="S4" s="32">
        <f>入力用!$L16</f>
        <v>0</v>
      </c>
      <c r="T4" s="55">
        <f>入力用!$L17</f>
        <v>0</v>
      </c>
    </row>
    <row r="5" spans="2:20" ht="20.25" customHeight="1">
      <c r="B5" s="265" t="s">
        <v>5</v>
      </c>
      <c r="C5" s="266"/>
      <c r="D5" s="267"/>
      <c r="E5" s="265" t="s">
        <v>24</v>
      </c>
      <c r="F5" s="266"/>
      <c r="G5" s="266"/>
      <c r="H5" s="268"/>
      <c r="I5" s="268"/>
      <c r="J5" s="269"/>
      <c r="K5" s="274" t="s">
        <v>25</v>
      </c>
      <c r="L5" s="275"/>
      <c r="M5" s="275"/>
      <c r="N5" s="275"/>
      <c r="O5" s="275"/>
      <c r="P5" s="275"/>
      <c r="Q5" s="275"/>
      <c r="R5" s="275"/>
      <c r="S5" s="275"/>
      <c r="T5" s="276"/>
    </row>
    <row r="6" spans="2:20" ht="20.25" customHeight="1">
      <c r="B6" s="10">
        <v>0</v>
      </c>
      <c r="C6" s="25" t="s">
        <v>6</v>
      </c>
      <c r="D6" s="11">
        <f t="shared" ref="D6:D15" si="0">B7-1</f>
        <v>550999</v>
      </c>
      <c r="E6" s="26"/>
      <c r="F6" s="27"/>
      <c r="G6" s="28"/>
      <c r="H6" s="29"/>
      <c r="I6" s="25"/>
      <c r="J6" s="21">
        <v>0</v>
      </c>
      <c r="K6" s="23">
        <f>$J6</f>
        <v>0</v>
      </c>
      <c r="L6" s="23">
        <f>$J6</f>
        <v>0</v>
      </c>
      <c r="M6" s="23">
        <f>$J6</f>
        <v>0</v>
      </c>
      <c r="N6" s="23">
        <f>$J6</f>
        <v>0</v>
      </c>
      <c r="O6" s="23">
        <f>$J6</f>
        <v>0</v>
      </c>
      <c r="P6" s="23">
        <f t="shared" ref="P6:T6" si="1">$J6</f>
        <v>0</v>
      </c>
      <c r="Q6" s="23">
        <f t="shared" si="1"/>
        <v>0</v>
      </c>
      <c r="R6" s="23">
        <f t="shared" si="1"/>
        <v>0</v>
      </c>
      <c r="S6" s="23">
        <f t="shared" si="1"/>
        <v>0</v>
      </c>
      <c r="T6" s="23">
        <f t="shared" si="1"/>
        <v>0</v>
      </c>
    </row>
    <row r="7" spans="2:20" ht="20.25" customHeight="1">
      <c r="B7" s="10">
        <v>551000</v>
      </c>
      <c r="C7" s="25" t="s">
        <v>6</v>
      </c>
      <c r="D7" s="11">
        <f t="shared" si="0"/>
        <v>1618999</v>
      </c>
      <c r="E7" s="26"/>
      <c r="F7" s="27"/>
      <c r="G7" s="28"/>
      <c r="H7" s="25" t="s">
        <v>11</v>
      </c>
      <c r="I7" s="5" t="s">
        <v>10</v>
      </c>
      <c r="J7" s="21">
        <v>-550000</v>
      </c>
      <c r="K7" s="23">
        <f>IF(AND(K4&gt;$D6,K4&lt;$B8),K4+$J7,0)</f>
        <v>0</v>
      </c>
      <c r="L7" s="23">
        <f>IF(AND(L4&gt;$D6,L4&lt;$B8),L4+$J7,0)</f>
        <v>0</v>
      </c>
      <c r="M7" s="23">
        <f>IF(AND(M4&gt;$D6,M4&lt;$B8),M4+$J7,0)</f>
        <v>0</v>
      </c>
      <c r="N7" s="23">
        <f>IF(AND(N4&gt;$D6,N4&lt;$B8),N4+$J7,0)</f>
        <v>0</v>
      </c>
      <c r="O7" s="23">
        <f>IF(AND(O4&gt;$D6,O4&lt;$B8),O4+$J7,0)</f>
        <v>0</v>
      </c>
      <c r="P7" s="23">
        <f t="shared" ref="P7:S7" si="2">IF(AND(P4&gt;$D6,P4&lt;$B8),P4+$J7,0)</f>
        <v>0</v>
      </c>
      <c r="Q7" s="23">
        <f t="shared" si="2"/>
        <v>0</v>
      </c>
      <c r="R7" s="23">
        <f t="shared" si="2"/>
        <v>0</v>
      </c>
      <c r="S7" s="23">
        <f t="shared" si="2"/>
        <v>0</v>
      </c>
      <c r="T7" s="23">
        <f>IF(AND(T4&gt;$D6,T4&lt;$B8),T4+$J7,0)</f>
        <v>0</v>
      </c>
    </row>
    <row r="8" spans="2:20" ht="20.25" customHeight="1">
      <c r="B8" s="10">
        <v>1619000</v>
      </c>
      <c r="C8" s="25" t="s">
        <v>6</v>
      </c>
      <c r="D8" s="11">
        <f t="shared" si="0"/>
        <v>1619999</v>
      </c>
      <c r="E8" s="26"/>
      <c r="F8" s="27"/>
      <c r="G8" s="28"/>
      <c r="H8" s="29"/>
      <c r="I8" s="25"/>
      <c r="J8" s="21">
        <v>1069000</v>
      </c>
      <c r="K8" s="23">
        <f>IF(AND(K4&gt;$D7,K4&lt;$B9),$J8,0)</f>
        <v>0</v>
      </c>
      <c r="L8" s="23">
        <f>IF(AND(L4&gt;$D7,L4&lt;$B9),$J8,0)</f>
        <v>0</v>
      </c>
      <c r="M8" s="23">
        <f>IF(AND(M4&gt;$D7,M4&lt;$B9),$J8,0)</f>
        <v>0</v>
      </c>
      <c r="N8" s="23">
        <f>IF(AND(N4&gt;$D7,N4&lt;$B9),$J8,0)</f>
        <v>0</v>
      </c>
      <c r="O8" s="23">
        <f>IF(AND(O4&gt;$D7,O4&lt;$B9),$J8,0)</f>
        <v>0</v>
      </c>
      <c r="P8" s="23">
        <f t="shared" ref="P8:S8" si="3">IF(AND(P4&gt;$D7,P4&lt;$B9),$J8,0)</f>
        <v>0</v>
      </c>
      <c r="Q8" s="23">
        <f t="shared" si="3"/>
        <v>0</v>
      </c>
      <c r="R8" s="23">
        <f t="shared" si="3"/>
        <v>0</v>
      </c>
      <c r="S8" s="23">
        <f t="shared" si="3"/>
        <v>0</v>
      </c>
      <c r="T8" s="23">
        <f>IF(AND(T4&gt;$D7,T4&lt;$B9),$J8,0)</f>
        <v>0</v>
      </c>
    </row>
    <row r="9" spans="2:20" ht="20.25" customHeight="1">
      <c r="B9" s="10">
        <v>1620000</v>
      </c>
      <c r="C9" s="25" t="s">
        <v>6</v>
      </c>
      <c r="D9" s="11">
        <f t="shared" si="0"/>
        <v>1621999</v>
      </c>
      <c r="E9" s="26"/>
      <c r="F9" s="27"/>
      <c r="G9" s="28"/>
      <c r="H9" s="29"/>
      <c r="I9" s="25"/>
      <c r="J9" s="21">
        <v>1070000</v>
      </c>
      <c r="K9" s="23">
        <f>IF(AND(K4&gt;$D8,K4&lt;$B10),$J9,0)</f>
        <v>0</v>
      </c>
      <c r="L9" s="23">
        <f>IF(AND(L4&gt;$D8,L4&lt;$B10),$J9,0)</f>
        <v>0</v>
      </c>
      <c r="M9" s="23">
        <f>IF(AND(M4&gt;$D8,M4&lt;$B10),$J9,0)</f>
        <v>0</v>
      </c>
      <c r="N9" s="23">
        <f>IF(AND(N4&gt;$D8,N4&lt;$B10),$J9,0)</f>
        <v>0</v>
      </c>
      <c r="O9" s="23">
        <f>IF(AND(O4&gt;$D8,O4&lt;$B10),$J9,0)</f>
        <v>0</v>
      </c>
      <c r="P9" s="23">
        <f t="shared" ref="P9:S9" si="4">IF(AND(P4&gt;$D8,P4&lt;$B10),$J9,0)</f>
        <v>0</v>
      </c>
      <c r="Q9" s="23">
        <f t="shared" si="4"/>
        <v>0</v>
      </c>
      <c r="R9" s="23">
        <f t="shared" si="4"/>
        <v>0</v>
      </c>
      <c r="S9" s="23">
        <f t="shared" si="4"/>
        <v>0</v>
      </c>
      <c r="T9" s="23">
        <f>IF(AND(T4&gt;$D8,T4&lt;$B10),$J9,0)</f>
        <v>0</v>
      </c>
    </row>
    <row r="10" spans="2:20" ht="20.25" customHeight="1">
      <c r="B10" s="10">
        <v>1622000</v>
      </c>
      <c r="C10" s="25" t="s">
        <v>6</v>
      </c>
      <c r="D10" s="11">
        <f t="shared" si="0"/>
        <v>1623999</v>
      </c>
      <c r="E10" s="26"/>
      <c r="F10" s="27"/>
      <c r="G10" s="28"/>
      <c r="H10" s="29"/>
      <c r="I10" s="25"/>
      <c r="J10" s="21">
        <v>1072000</v>
      </c>
      <c r="K10" s="23">
        <f>IF(AND(K4&gt;$D9,K4&lt;$B11),$J10,0)</f>
        <v>0</v>
      </c>
      <c r="L10" s="23">
        <f>IF(AND(L4&gt;$D9,L4&lt;$B11),$J10,0)</f>
        <v>0</v>
      </c>
      <c r="M10" s="23">
        <f>IF(AND(M4&gt;$D9,M4&lt;$B11),$J10,0)</f>
        <v>0</v>
      </c>
      <c r="N10" s="23">
        <f>IF(AND(N4&gt;$D9,N4&lt;$B11),$J10,0)</f>
        <v>0</v>
      </c>
      <c r="O10" s="23">
        <f>IF(AND(O4&gt;$D9,O4&lt;$B11),$J10,0)</f>
        <v>0</v>
      </c>
      <c r="P10" s="23">
        <f t="shared" ref="P10:S10" si="5">IF(AND(P4&gt;$D9,P4&lt;$B11),$J10,0)</f>
        <v>0</v>
      </c>
      <c r="Q10" s="23">
        <f t="shared" si="5"/>
        <v>0</v>
      </c>
      <c r="R10" s="23">
        <f t="shared" si="5"/>
        <v>0</v>
      </c>
      <c r="S10" s="23">
        <f t="shared" si="5"/>
        <v>0</v>
      </c>
      <c r="T10" s="23">
        <f>IF(AND(T4&gt;$D9,T4&lt;$B11),$J10,0)</f>
        <v>0</v>
      </c>
    </row>
    <row r="11" spans="2:20" ht="20.25" customHeight="1">
      <c r="B11" s="10">
        <v>1624000</v>
      </c>
      <c r="C11" s="25" t="s">
        <v>6</v>
      </c>
      <c r="D11" s="11">
        <f t="shared" si="0"/>
        <v>1627999</v>
      </c>
      <c r="E11" s="26"/>
      <c r="F11" s="27"/>
      <c r="G11" s="28"/>
      <c r="H11" s="29"/>
      <c r="I11" s="25"/>
      <c r="J11" s="21">
        <v>1074000</v>
      </c>
      <c r="K11" s="23">
        <f>IF(AND(K4&gt;$D10,K4&lt;$B12),$J11,0)</f>
        <v>0</v>
      </c>
      <c r="L11" s="23">
        <f>IF(AND(L4&gt;$D10,L4&lt;$B12),$J11,0)</f>
        <v>0</v>
      </c>
      <c r="M11" s="23">
        <f>IF(AND(M4&gt;$D10,M4&lt;$B12),$J11,0)</f>
        <v>0</v>
      </c>
      <c r="N11" s="23">
        <f>IF(AND(N4&gt;$D10,N4&lt;$B12),$J11,0)</f>
        <v>0</v>
      </c>
      <c r="O11" s="23">
        <f>IF(AND(O4&gt;$D10,O4&lt;$B12),$J11,0)</f>
        <v>0</v>
      </c>
      <c r="P11" s="23">
        <f t="shared" ref="P11:S11" si="6">IF(AND(P4&gt;$D10,P4&lt;$B12),$J11,0)</f>
        <v>0</v>
      </c>
      <c r="Q11" s="23">
        <f t="shared" si="6"/>
        <v>0</v>
      </c>
      <c r="R11" s="23">
        <f t="shared" si="6"/>
        <v>0</v>
      </c>
      <c r="S11" s="23">
        <f t="shared" si="6"/>
        <v>0</v>
      </c>
      <c r="T11" s="23">
        <f>IF(AND(T4&gt;$D10,T4&lt;$B12),$J11,0)</f>
        <v>0</v>
      </c>
    </row>
    <row r="12" spans="2:20" ht="20.25" customHeight="1">
      <c r="B12" s="10">
        <v>1628000</v>
      </c>
      <c r="C12" s="25" t="s">
        <v>6</v>
      </c>
      <c r="D12" s="11">
        <f t="shared" si="0"/>
        <v>1799999</v>
      </c>
      <c r="E12" s="13" t="s">
        <v>7</v>
      </c>
      <c r="F12" s="6">
        <v>4</v>
      </c>
      <c r="G12" s="7" t="s">
        <v>9</v>
      </c>
      <c r="H12" s="8">
        <v>2.4</v>
      </c>
      <c r="I12" s="5" t="s">
        <v>10</v>
      </c>
      <c r="J12" s="21">
        <v>100000</v>
      </c>
      <c r="K12" s="23">
        <f>IF(AND(K4&gt;$D11,K4&lt;$B13),ROUNDDOWN(K4/$F12,-3)*$H12+$J12,0)</f>
        <v>0</v>
      </c>
      <c r="L12" s="23">
        <f>IF(AND(L4&gt;$D11,L4&lt;$B13),ROUNDDOWN(L4/$F12,-3)*$H12+$J12,0)</f>
        <v>0</v>
      </c>
      <c r="M12" s="23">
        <f>IF(AND(M4&gt;$D11,M4&lt;$B13),ROUNDDOWN(M4/$F12,-3)*$H12+$J12,0)</f>
        <v>0</v>
      </c>
      <c r="N12" s="23">
        <f>IF(AND(N4&gt;$D11,N4&lt;$B13),ROUNDDOWN(N4/$F12,-3)*$H12+$J12,0)</f>
        <v>0</v>
      </c>
      <c r="O12" s="23">
        <f>IF(AND(O4&gt;$D11,O4&lt;$B13),ROUNDDOWN(O4/$F12,-3)*$H12+$J12,0)</f>
        <v>0</v>
      </c>
      <c r="P12" s="23">
        <f t="shared" ref="P12:S12" si="7">IF(AND(P4&gt;$D11,P4&lt;$B13),ROUNDDOWN(P4/$F12,-3)*$H12+$J12,0)</f>
        <v>0</v>
      </c>
      <c r="Q12" s="23">
        <f t="shared" si="7"/>
        <v>0</v>
      </c>
      <c r="R12" s="23">
        <f t="shared" si="7"/>
        <v>0</v>
      </c>
      <c r="S12" s="23">
        <f t="shared" si="7"/>
        <v>0</v>
      </c>
      <c r="T12" s="23">
        <f>IF(AND(T4&gt;$D11,T4&lt;$B13),ROUNDDOWN(T4/$F12,-3)*$H12+$J12,0)</f>
        <v>0</v>
      </c>
    </row>
    <row r="13" spans="2:20" ht="20.25" customHeight="1">
      <c r="B13" s="10">
        <v>1800000</v>
      </c>
      <c r="C13" s="25" t="s">
        <v>6</v>
      </c>
      <c r="D13" s="11">
        <f t="shared" si="0"/>
        <v>3599999</v>
      </c>
      <c r="E13" s="13" t="s">
        <v>7</v>
      </c>
      <c r="F13" s="6">
        <v>4</v>
      </c>
      <c r="G13" s="7" t="s">
        <v>9</v>
      </c>
      <c r="H13" s="8">
        <v>2.8</v>
      </c>
      <c r="I13" s="5" t="s">
        <v>10</v>
      </c>
      <c r="J13" s="21">
        <v>-80000</v>
      </c>
      <c r="K13" s="23">
        <f>IF(AND(K4&gt;$D12,K4&lt;$B14),ROUNDDOWN(K4/$F13,-3)*$H13+$J13,0)</f>
        <v>0</v>
      </c>
      <c r="L13" s="23">
        <f>IF(AND(L4&gt;$D12,L4&lt;$B14),ROUNDDOWN(L4/$F13,-3)*$H13+$J13,0)</f>
        <v>0</v>
      </c>
      <c r="M13" s="23">
        <f>IF(AND(M4&gt;$D12,M4&lt;$B14),ROUNDDOWN(M4/$F13,-3)*$H13+$J13,0)</f>
        <v>0</v>
      </c>
      <c r="N13" s="23">
        <f>IF(AND(N4&gt;$D12,N4&lt;$B14),ROUNDDOWN(N4/$F13,-3)*$H13+$J13,0)</f>
        <v>0</v>
      </c>
      <c r="O13" s="23">
        <f>IF(AND(O4&gt;$D12,O4&lt;$B14),ROUNDDOWN(O4/$F13,-3)*$H13+$J13,0)</f>
        <v>0</v>
      </c>
      <c r="P13" s="23">
        <f t="shared" ref="P13:S13" si="8">IF(AND(P4&gt;$D12,P4&lt;$B14),ROUNDDOWN(P4/$F13,-3)*$H13+$J13,0)</f>
        <v>0</v>
      </c>
      <c r="Q13" s="23">
        <f t="shared" si="8"/>
        <v>0</v>
      </c>
      <c r="R13" s="23">
        <f t="shared" si="8"/>
        <v>0</v>
      </c>
      <c r="S13" s="23">
        <f t="shared" si="8"/>
        <v>0</v>
      </c>
      <c r="T13" s="23">
        <f>IF(AND(T4&gt;$D12,T4&lt;$B14),ROUNDDOWN(T4/$F13,-3)*$H13+$J13,0)</f>
        <v>0</v>
      </c>
    </row>
    <row r="14" spans="2:20" ht="20.25" customHeight="1">
      <c r="B14" s="10">
        <v>3600000</v>
      </c>
      <c r="C14" s="25" t="s">
        <v>6</v>
      </c>
      <c r="D14" s="11">
        <f t="shared" si="0"/>
        <v>6599999</v>
      </c>
      <c r="E14" s="13" t="s">
        <v>7</v>
      </c>
      <c r="F14" s="6">
        <v>4</v>
      </c>
      <c r="G14" s="7" t="s">
        <v>9</v>
      </c>
      <c r="H14" s="8">
        <v>3.2</v>
      </c>
      <c r="I14" s="5" t="s">
        <v>10</v>
      </c>
      <c r="J14" s="21">
        <v>-440000</v>
      </c>
      <c r="K14" s="23">
        <f>IF(AND(K4&gt;$D13,K4&lt;$B15),ROUNDDOWN(K4/$F14,-3)*$H14+$J14,0)</f>
        <v>0</v>
      </c>
      <c r="L14" s="23">
        <f>IF(AND(L4&gt;$D13,L4&lt;$B15),ROUNDDOWN(L4/$F14,-3)*$H14+$J14,0)</f>
        <v>0</v>
      </c>
      <c r="M14" s="23">
        <f>IF(AND(M4&gt;$D13,M4&lt;$B15),ROUNDDOWN(M4/$F14,-3)*$H14+$J14,0)</f>
        <v>0</v>
      </c>
      <c r="N14" s="23">
        <f>IF(AND(N4&gt;$D13,N4&lt;$B15),ROUNDDOWN(N4/$F14,-3)*$H14+$J14,0)</f>
        <v>0</v>
      </c>
      <c r="O14" s="23">
        <f>IF(AND(O4&gt;$D13,O4&lt;$B15),ROUNDDOWN(O4/$F14,-3)*$H14+$J14,0)</f>
        <v>0</v>
      </c>
      <c r="P14" s="23">
        <f t="shared" ref="P14:S14" si="9">IF(AND(P4&gt;$D13,P4&lt;$B15),ROUNDDOWN(P4/$F14,-3)*$H14+$J14,0)</f>
        <v>0</v>
      </c>
      <c r="Q14" s="23">
        <f t="shared" si="9"/>
        <v>0</v>
      </c>
      <c r="R14" s="23">
        <f t="shared" si="9"/>
        <v>0</v>
      </c>
      <c r="S14" s="23">
        <f t="shared" si="9"/>
        <v>0</v>
      </c>
      <c r="T14" s="23">
        <f>IF(AND(T4&gt;$D13,T4&lt;$B15),ROUNDDOWN(T4/$F14,-3)*$H14+$J14,0)</f>
        <v>0</v>
      </c>
    </row>
    <row r="15" spans="2:20" ht="20.25" customHeight="1">
      <c r="B15" s="10">
        <v>6600000</v>
      </c>
      <c r="C15" s="25" t="s">
        <v>6</v>
      </c>
      <c r="D15" s="11">
        <f t="shared" si="0"/>
        <v>8499999</v>
      </c>
      <c r="E15" s="13" t="s">
        <v>12</v>
      </c>
      <c r="F15" s="9">
        <v>0.9</v>
      </c>
      <c r="G15" s="28" t="s">
        <v>8</v>
      </c>
      <c r="H15" s="30"/>
      <c r="I15" s="5" t="s">
        <v>10</v>
      </c>
      <c r="J15" s="21">
        <v>-1100000</v>
      </c>
      <c r="K15" s="23">
        <f>IF(AND(K4&gt;$D14,K4&lt;$B16),ROUNDDOWN(K4*$F15+$J15,0),0)</f>
        <v>0</v>
      </c>
      <c r="L15" s="23">
        <f>IF(AND(L4&gt;$D14,L4&lt;$B16),ROUNDDOWN(L4*$F15+$J15,0),0)</f>
        <v>0</v>
      </c>
      <c r="M15" s="23">
        <f>IF(AND(M4&gt;$D14,M4&lt;$B16),ROUNDDOWN(M4*$F15+$J15,0),0)</f>
        <v>0</v>
      </c>
      <c r="N15" s="23">
        <f>IF(AND(N4&gt;$D14,N4&lt;$B16),ROUNDDOWN(N4*$F15+$J15,0),0)</f>
        <v>0</v>
      </c>
      <c r="O15" s="23">
        <f>IF(AND(O4&gt;$D14,O4&lt;$B16),ROUNDDOWN(O4*$F15+$J15,0),0)</f>
        <v>0</v>
      </c>
      <c r="P15" s="23">
        <f t="shared" ref="P15:S15" si="10">IF(AND(P4&gt;$D14,P4&lt;$B16),ROUNDDOWN(P4*$F15+$J15,0),0)</f>
        <v>0</v>
      </c>
      <c r="Q15" s="23">
        <f t="shared" si="10"/>
        <v>0</v>
      </c>
      <c r="R15" s="23">
        <f t="shared" si="10"/>
        <v>0</v>
      </c>
      <c r="S15" s="23">
        <f t="shared" si="10"/>
        <v>0</v>
      </c>
      <c r="T15" s="23">
        <f>IF(AND(T4&gt;$D14,T4&lt;$B16),ROUNDDOWN(T4*$F15+$J15,0),0)</f>
        <v>0</v>
      </c>
    </row>
    <row r="16" spans="2:20" ht="20.25" customHeight="1" thickBot="1">
      <c r="B16" s="10">
        <v>8500000</v>
      </c>
      <c r="C16" s="25" t="s">
        <v>6</v>
      </c>
      <c r="D16" s="11"/>
      <c r="E16" s="26"/>
      <c r="F16" s="27"/>
      <c r="G16" s="28"/>
      <c r="H16" s="25" t="s">
        <v>13</v>
      </c>
      <c r="I16" s="5" t="s">
        <v>10</v>
      </c>
      <c r="J16" s="21">
        <v>-1950000</v>
      </c>
      <c r="K16" s="31">
        <f>IF(K4&gt;$D15,K4+$J16,0)</f>
        <v>0</v>
      </c>
      <c r="L16" s="31">
        <f>IF(L4&gt;$D15,L4+$J16,0)</f>
        <v>0</v>
      </c>
      <c r="M16" s="31">
        <f>IF(M4&gt;$D15,M4+$J16,0)</f>
        <v>0</v>
      </c>
      <c r="N16" s="31">
        <f>IF(N4&gt;$D15,N4+$J16,0)</f>
        <v>0</v>
      </c>
      <c r="O16" s="31">
        <f>IF(O4&gt;$D15,O4+$J16,0)</f>
        <v>0</v>
      </c>
      <c r="P16" s="31">
        <f t="shared" ref="P16:S16" si="11">IF(P4&gt;$D15,P4+$J16,0)</f>
        <v>0</v>
      </c>
      <c r="Q16" s="31">
        <f t="shared" si="11"/>
        <v>0</v>
      </c>
      <c r="R16" s="31">
        <f t="shared" si="11"/>
        <v>0</v>
      </c>
      <c r="S16" s="31">
        <f t="shared" si="11"/>
        <v>0</v>
      </c>
      <c r="T16" s="31">
        <f>IF(T4&gt;$D15,T4+$J16,0)</f>
        <v>0</v>
      </c>
    </row>
    <row r="17" spans="2:20" ht="20.25" customHeight="1" thickBot="1">
      <c r="K17" s="41">
        <f>SUM(K6:K16)</f>
        <v>0</v>
      </c>
      <c r="L17" s="33">
        <f>SUM(L6:L16)</f>
        <v>0</v>
      </c>
      <c r="M17" s="33">
        <f>SUM(M6:M16)</f>
        <v>0</v>
      </c>
      <c r="N17" s="33">
        <f>SUM(N6:N16)</f>
        <v>0</v>
      </c>
      <c r="O17" s="56">
        <f>SUM(O6:O16)</f>
        <v>0</v>
      </c>
      <c r="P17" s="33">
        <f t="shared" ref="P17:T17" si="12">SUM(P6:P16)</f>
        <v>0</v>
      </c>
      <c r="Q17" s="33">
        <f t="shared" si="12"/>
        <v>0</v>
      </c>
      <c r="R17" s="33">
        <f t="shared" si="12"/>
        <v>0</v>
      </c>
      <c r="S17" s="33">
        <f t="shared" si="12"/>
        <v>0</v>
      </c>
      <c r="T17" s="57">
        <f t="shared" si="12"/>
        <v>0</v>
      </c>
    </row>
    <row r="21" spans="2:20" ht="20.25" customHeight="1">
      <c r="B21" s="1" t="s">
        <v>153</v>
      </c>
      <c r="K21" s="34" t="s">
        <v>14</v>
      </c>
      <c r="L21" s="34" t="s">
        <v>15</v>
      </c>
      <c r="M21" s="34" t="s">
        <v>21</v>
      </c>
      <c r="N21" s="34" t="s">
        <v>22</v>
      </c>
      <c r="O21" s="34" t="s">
        <v>23</v>
      </c>
      <c r="P21" s="34" t="s">
        <v>69</v>
      </c>
      <c r="Q21" s="34" t="s">
        <v>70</v>
      </c>
      <c r="R21" s="34" t="s">
        <v>71</v>
      </c>
      <c r="S21" s="34" t="s">
        <v>72</v>
      </c>
      <c r="T21" s="34" t="s">
        <v>73</v>
      </c>
    </row>
    <row r="22" spans="2:20" ht="20.25" customHeight="1">
      <c r="B22" s="135" t="s">
        <v>149</v>
      </c>
      <c r="C22" s="136"/>
      <c r="D22" s="136"/>
      <c r="E22" s="137"/>
      <c r="F22" s="137"/>
      <c r="G22" s="138"/>
      <c r="H22" s="136"/>
      <c r="I22" s="132"/>
      <c r="J22" s="139"/>
      <c r="K22" s="22">
        <f t="shared" ref="K22:T22" si="13">IF(K17&gt;$D25,$D25,K17)</f>
        <v>0</v>
      </c>
      <c r="L22" s="22">
        <f t="shared" si="13"/>
        <v>0</v>
      </c>
      <c r="M22" s="22">
        <f t="shared" si="13"/>
        <v>0</v>
      </c>
      <c r="N22" s="22">
        <f t="shared" si="13"/>
        <v>0</v>
      </c>
      <c r="O22" s="22">
        <f t="shared" si="13"/>
        <v>0</v>
      </c>
      <c r="P22" s="22">
        <f t="shared" si="13"/>
        <v>0</v>
      </c>
      <c r="Q22" s="22">
        <f t="shared" si="13"/>
        <v>0</v>
      </c>
      <c r="R22" s="22">
        <f t="shared" si="13"/>
        <v>0</v>
      </c>
      <c r="S22" s="22">
        <f t="shared" si="13"/>
        <v>0</v>
      </c>
      <c r="T22" s="22">
        <f t="shared" si="13"/>
        <v>0</v>
      </c>
    </row>
    <row r="23" spans="2:20" ht="20.25" customHeight="1" thickBot="1">
      <c r="B23" s="135" t="s">
        <v>150</v>
      </c>
      <c r="C23" s="136"/>
      <c r="D23" s="136"/>
      <c r="E23" s="137"/>
      <c r="F23" s="137"/>
      <c r="G23" s="138"/>
      <c r="H23" s="136"/>
      <c r="I23" s="132"/>
      <c r="J23" s="139"/>
      <c r="K23" s="24">
        <f>IF(年金所得計算!K24&gt;$D25,$D25,年金所得計算!K24)</f>
        <v>0</v>
      </c>
      <c r="L23" s="24">
        <f>IF(年金所得計算!L24&gt;$D25,$D25,年金所得計算!L24)</f>
        <v>0</v>
      </c>
      <c r="M23" s="24">
        <f>IF(年金所得計算!M24&gt;$D25,$D25,年金所得計算!M24)</f>
        <v>0</v>
      </c>
      <c r="N23" s="24">
        <f>IF(年金所得計算!N24&gt;$D25,$D25,年金所得計算!N24)</f>
        <v>0</v>
      </c>
      <c r="O23" s="24">
        <f>IF(年金所得計算!O24&gt;$D25,$D25,年金所得計算!O24)</f>
        <v>0</v>
      </c>
      <c r="P23" s="24">
        <f>IF(年金所得計算!P24&gt;$D25,$D25,年金所得計算!P24)</f>
        <v>0</v>
      </c>
      <c r="Q23" s="24">
        <f>IF(年金所得計算!Q24&gt;$D25,$D25,年金所得計算!Q24)</f>
        <v>0</v>
      </c>
      <c r="R23" s="24">
        <f>IF(年金所得計算!R24&gt;$D25,$D25,年金所得計算!R24)</f>
        <v>0</v>
      </c>
      <c r="S23" s="24">
        <f>IF(年金所得計算!S24&gt;$D25,$D25,年金所得計算!S24)</f>
        <v>0</v>
      </c>
      <c r="T23" s="24">
        <f>IF(年金所得計算!T24&gt;$D25,$D25,年金所得計算!T24)</f>
        <v>0</v>
      </c>
    </row>
    <row r="24" spans="2:20" ht="20.25" customHeight="1" thickBot="1">
      <c r="B24" s="135" t="s">
        <v>157</v>
      </c>
      <c r="C24" s="136"/>
      <c r="D24" s="136"/>
      <c r="E24" s="137"/>
      <c r="F24" s="137"/>
      <c r="G24" s="138"/>
      <c r="H24" s="136"/>
      <c r="I24" s="132"/>
      <c r="J24" s="139"/>
      <c r="K24" s="41">
        <f>MAX(SUM(K22:K23)-$D25,0)</f>
        <v>0</v>
      </c>
      <c r="L24" s="33">
        <f t="shared" ref="L24:T24" si="14">MAX(SUM(L22:L23)-$D25,0)</f>
        <v>0</v>
      </c>
      <c r="M24" s="33">
        <f t="shared" si="14"/>
        <v>0</v>
      </c>
      <c r="N24" s="33">
        <f t="shared" si="14"/>
        <v>0</v>
      </c>
      <c r="O24" s="33">
        <f t="shared" si="14"/>
        <v>0</v>
      </c>
      <c r="P24" s="33">
        <f t="shared" si="14"/>
        <v>0</v>
      </c>
      <c r="Q24" s="33">
        <f t="shared" si="14"/>
        <v>0</v>
      </c>
      <c r="R24" s="33">
        <f t="shared" si="14"/>
        <v>0</v>
      </c>
      <c r="S24" s="33">
        <f t="shared" si="14"/>
        <v>0</v>
      </c>
      <c r="T24" s="42">
        <f t="shared" si="14"/>
        <v>0</v>
      </c>
    </row>
    <row r="25" spans="2:20" ht="20.25" customHeight="1">
      <c r="B25" s="1" t="s">
        <v>152</v>
      </c>
      <c r="D25" s="141">
        <v>100000</v>
      </c>
      <c r="E25" s="134" t="s">
        <v>151</v>
      </c>
    </row>
  </sheetData>
  <sheetProtection password="C65F" sheet="1" objects="1" scenarios="1" selectLockedCells="1" selectUnlockedCells="1"/>
  <mergeCells count="5">
    <mergeCell ref="B5:D5"/>
    <mergeCell ref="E5:J5"/>
    <mergeCell ref="H4:J4"/>
    <mergeCell ref="C3:D3"/>
    <mergeCell ref="K5:T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1"/>
  </sheetPr>
  <dimension ref="A2:T28"/>
  <sheetViews>
    <sheetView showGridLines="0" topLeftCell="BA1" zoomScale="85" zoomScaleNormal="85" workbookViewId="0">
      <selection sqref="A1:AZ1048576"/>
    </sheetView>
  </sheetViews>
  <sheetFormatPr defaultRowHeight="20.25" customHeight="1"/>
  <cols>
    <col min="1" max="1" width="2.5" style="1" hidden="1" customWidth="1"/>
    <col min="2" max="2" width="3.625" style="1" hidden="1" customWidth="1"/>
    <col min="3" max="3" width="11" style="1" hidden="1" customWidth="1"/>
    <col min="4" max="4" width="3.875" style="1" hidden="1" customWidth="1"/>
    <col min="5" max="5" width="11" style="1" hidden="1" customWidth="1"/>
    <col min="6" max="6" width="5.75" style="3" hidden="1" customWidth="1"/>
    <col min="7" max="7" width="5.5" style="3" hidden="1" customWidth="1"/>
    <col min="8" max="8" width="4.5" style="1" hidden="1" customWidth="1"/>
    <col min="9" max="9" width="3.5" style="2" hidden="1" customWidth="1"/>
    <col min="10" max="10" width="11" style="1" hidden="1" customWidth="1"/>
    <col min="11" max="20" width="11.625" style="1" hidden="1" customWidth="1"/>
    <col min="21" max="52" width="0" style="1" hidden="1" customWidth="1"/>
    <col min="53" max="16384" width="9" style="1"/>
  </cols>
  <sheetData>
    <row r="2" spans="2:20" ht="20.25" customHeight="1">
      <c r="B2" s="35" t="s">
        <v>31</v>
      </c>
    </row>
    <row r="3" spans="2:20" ht="20.25" customHeight="1" thickBot="1">
      <c r="B3" s="280" t="s">
        <v>59</v>
      </c>
      <c r="C3" s="280"/>
      <c r="D3" s="281">
        <f>入力用!S2</f>
        <v>2025</v>
      </c>
      <c r="E3" s="281"/>
      <c r="F3" s="35"/>
      <c r="G3" s="35"/>
      <c r="H3" s="35"/>
      <c r="I3" s="35"/>
      <c r="J3" s="35"/>
      <c r="K3" s="36" t="s">
        <v>14</v>
      </c>
      <c r="L3" s="36" t="s">
        <v>15</v>
      </c>
      <c r="M3" s="36" t="s">
        <v>21</v>
      </c>
      <c r="N3" s="36" t="s">
        <v>22</v>
      </c>
      <c r="O3" s="36" t="s">
        <v>23</v>
      </c>
      <c r="P3" s="36" t="s">
        <v>69</v>
      </c>
      <c r="Q3" s="36" t="s">
        <v>70</v>
      </c>
      <c r="R3" s="36" t="s">
        <v>71</v>
      </c>
      <c r="S3" s="36" t="s">
        <v>72</v>
      </c>
      <c r="T3" s="36" t="s">
        <v>73</v>
      </c>
    </row>
    <row r="4" spans="2:20" ht="20.25" customHeight="1" thickBot="1">
      <c r="D4"/>
      <c r="E4"/>
      <c r="G4"/>
      <c r="H4"/>
      <c r="I4" s="293" t="s">
        <v>30</v>
      </c>
      <c r="J4" s="292"/>
      <c r="K4" s="32">
        <f>入力用!$R8</f>
        <v>0</v>
      </c>
      <c r="L4" s="32">
        <f>入力用!$R9</f>
        <v>0</v>
      </c>
      <c r="M4" s="32">
        <f>入力用!$R10</f>
        <v>0</v>
      </c>
      <c r="N4" s="32">
        <f>入力用!$R11</f>
        <v>0</v>
      </c>
      <c r="O4" s="54">
        <f>入力用!$R12</f>
        <v>0</v>
      </c>
      <c r="P4" s="32">
        <f>入力用!$R13</f>
        <v>0</v>
      </c>
      <c r="Q4" s="32">
        <f>入力用!$R14</f>
        <v>0</v>
      </c>
      <c r="R4" s="32">
        <f>入力用!$R15</f>
        <v>0</v>
      </c>
      <c r="S4" s="32">
        <f>入力用!$R16</f>
        <v>0</v>
      </c>
      <c r="T4" s="55">
        <f>入力用!$R17</f>
        <v>0</v>
      </c>
    </row>
    <row r="5" spans="2:20" ht="20.25" customHeight="1" thickBot="1">
      <c r="D5"/>
      <c r="E5"/>
      <c r="F5" s="290" t="s">
        <v>28</v>
      </c>
      <c r="G5" s="291"/>
      <c r="H5" s="291"/>
      <c r="I5" s="292"/>
      <c r="J5" s="292"/>
      <c r="K5" s="32">
        <f>入力用!$O8+入力用!$X8</f>
        <v>0</v>
      </c>
      <c r="L5" s="32">
        <f>入力用!$O9+入力用!$X9</f>
        <v>0</v>
      </c>
      <c r="M5" s="32">
        <f>入力用!$O10+入力用!$X10</f>
        <v>0</v>
      </c>
      <c r="N5" s="32">
        <f>入力用!$O11+入力用!$X11</f>
        <v>0</v>
      </c>
      <c r="O5" s="54">
        <f>入力用!$O12+入力用!$X12</f>
        <v>0</v>
      </c>
      <c r="P5" s="32">
        <f>入力用!$O13+入力用!$X13</f>
        <v>0</v>
      </c>
      <c r="Q5" s="32">
        <f>入力用!$O14+入力用!$X14</f>
        <v>0</v>
      </c>
      <c r="R5" s="32">
        <f>入力用!$O15+入力用!$X15</f>
        <v>0</v>
      </c>
      <c r="S5" s="32">
        <f>入力用!$O16+入力用!$X16</f>
        <v>0</v>
      </c>
      <c r="T5" s="55">
        <f>入力用!$O17+入力用!$X17</f>
        <v>0</v>
      </c>
    </row>
    <row r="6" spans="2:20" ht="20.25" customHeight="1" thickBot="1">
      <c r="C6" s="282" t="s">
        <v>36</v>
      </c>
      <c r="D6" s="283"/>
      <c r="E6" s="283"/>
      <c r="F6" s="284">
        <f>DATE(D3-65,1,1)</f>
        <v>21916</v>
      </c>
      <c r="G6" s="285"/>
      <c r="H6" s="286"/>
      <c r="I6" s="287" t="s">
        <v>29</v>
      </c>
      <c r="J6" s="288"/>
      <c r="K6" s="38">
        <f>入力用!$H8</f>
        <v>0</v>
      </c>
      <c r="L6" s="38">
        <f>入力用!$H9</f>
        <v>0</v>
      </c>
      <c r="M6" s="38">
        <f>入力用!$H10</f>
        <v>0</v>
      </c>
      <c r="N6" s="38">
        <f>入力用!$H11</f>
        <v>0</v>
      </c>
      <c r="O6" s="58">
        <f>入力用!$H12</f>
        <v>0</v>
      </c>
      <c r="P6" s="50">
        <f>入力用!$H13</f>
        <v>0</v>
      </c>
      <c r="Q6" s="50">
        <f>入力用!$H14</f>
        <v>0</v>
      </c>
      <c r="R6" s="50">
        <f>入力用!$H15</f>
        <v>0</v>
      </c>
      <c r="S6" s="50">
        <f>入力用!$H16</f>
        <v>0</v>
      </c>
      <c r="T6" s="59">
        <f>入力用!$H17</f>
        <v>0</v>
      </c>
    </row>
    <row r="7" spans="2:20" ht="20.25" customHeight="1">
      <c r="C7" s="294" t="s">
        <v>17</v>
      </c>
      <c r="D7" s="268"/>
      <c r="E7" s="269"/>
      <c r="F7" s="294" t="s">
        <v>26</v>
      </c>
      <c r="G7" s="268"/>
      <c r="H7" s="268"/>
      <c r="I7" s="268"/>
      <c r="J7" s="295"/>
      <c r="K7" s="274" t="s">
        <v>27</v>
      </c>
      <c r="L7" s="275"/>
      <c r="M7" s="275"/>
      <c r="N7" s="275"/>
      <c r="O7" s="275"/>
      <c r="P7" s="275"/>
      <c r="Q7" s="275"/>
      <c r="R7" s="275"/>
      <c r="S7" s="275"/>
      <c r="T7" s="276"/>
    </row>
    <row r="8" spans="2:20" ht="20.25" customHeight="1">
      <c r="B8" s="289" t="s">
        <v>34</v>
      </c>
      <c r="C8" s="10">
        <v>0</v>
      </c>
      <c r="D8" s="14" t="s">
        <v>6</v>
      </c>
      <c r="E8" s="15">
        <f t="shared" ref="E8:E11" si="0">C9-1</f>
        <v>3299999</v>
      </c>
      <c r="F8" s="16"/>
      <c r="G8" s="17"/>
      <c r="H8" s="14" t="s">
        <v>18</v>
      </c>
      <c r="I8" s="18" t="s">
        <v>10</v>
      </c>
      <c r="J8" s="12">
        <v>-1100000</v>
      </c>
      <c r="K8" s="60">
        <f>IF(K$6&gt;$F$6,0,IF(K$4&lt;$C9,K$4+$J8,0))</f>
        <v>-1100000</v>
      </c>
      <c r="L8" s="60">
        <f t="shared" ref="L8:N8" si="1">IF(L$6&gt;$F$6,0,IF(L$4&lt;$C9,L$4+$J8,0))</f>
        <v>-1100000</v>
      </c>
      <c r="M8" s="60">
        <f t="shared" si="1"/>
        <v>-1100000</v>
      </c>
      <c r="N8" s="60">
        <f t="shared" si="1"/>
        <v>-1100000</v>
      </c>
      <c r="O8" s="60">
        <f>IF(O$6&gt;$F$6,0,IF(O$4&lt;$C9,O$4+$J8,0))</f>
        <v>-1100000</v>
      </c>
      <c r="P8" s="60">
        <f t="shared" ref="P8:S8" si="2">IF(P$6&gt;$F$6,0,IF(P$4&lt;$C9,P$4+$J8,0))</f>
        <v>-1100000</v>
      </c>
      <c r="Q8" s="60">
        <f t="shared" si="2"/>
        <v>-1100000</v>
      </c>
      <c r="R8" s="60">
        <f t="shared" si="2"/>
        <v>-1100000</v>
      </c>
      <c r="S8" s="60">
        <f t="shared" si="2"/>
        <v>-1100000</v>
      </c>
      <c r="T8" s="60">
        <f>IF(T$6&gt;$F$6,0,IF(T$4&lt;$C9,T$4+$J8,0))</f>
        <v>-1100000</v>
      </c>
    </row>
    <row r="9" spans="2:20" ht="20.25" customHeight="1">
      <c r="B9" s="289"/>
      <c r="C9" s="10">
        <v>3300000</v>
      </c>
      <c r="D9" s="14" t="s">
        <v>6</v>
      </c>
      <c r="E9" s="15">
        <f t="shared" si="0"/>
        <v>4099999</v>
      </c>
      <c r="F9" s="13" t="s">
        <v>19</v>
      </c>
      <c r="G9" s="20">
        <v>0.75</v>
      </c>
      <c r="H9" s="19" t="s">
        <v>20</v>
      </c>
      <c r="I9" s="18" t="s">
        <v>10</v>
      </c>
      <c r="J9" s="12">
        <v>-275000</v>
      </c>
      <c r="K9" s="23">
        <f>IF(K$6&gt;$F$6,0,IF(AND(K$4&gt;$E8,K$4&lt;$C10),ROUNDDOWN(K$4*$G9+$J9,0),0))</f>
        <v>0</v>
      </c>
      <c r="L9" s="23">
        <f t="shared" ref="L9:S11" si="3">IF(L$6&gt;$F$6,0,IF(AND(L$4&gt;$E8,L$4&lt;$C10),ROUNDDOWN(L$4*$G9+$J9,0),0))</f>
        <v>0</v>
      </c>
      <c r="M9" s="23">
        <f t="shared" si="3"/>
        <v>0</v>
      </c>
      <c r="N9" s="23">
        <f t="shared" si="3"/>
        <v>0</v>
      </c>
      <c r="O9" s="23">
        <f t="shared" si="3"/>
        <v>0</v>
      </c>
      <c r="P9" s="23">
        <f t="shared" si="3"/>
        <v>0</v>
      </c>
      <c r="Q9" s="23">
        <f t="shared" si="3"/>
        <v>0</v>
      </c>
      <c r="R9" s="23">
        <f t="shared" si="3"/>
        <v>0</v>
      </c>
      <c r="S9" s="23">
        <f t="shared" si="3"/>
        <v>0</v>
      </c>
      <c r="T9" s="23">
        <f>IF(T$6&gt;$F$6,0,IF(AND(T$4&gt;$E8,T$4&lt;$C10),ROUNDDOWN(T$4*$G9+$J9,0),0))</f>
        <v>0</v>
      </c>
    </row>
    <row r="10" spans="2:20" ht="20.25" customHeight="1">
      <c r="B10" s="289"/>
      <c r="C10" s="10">
        <v>4100000</v>
      </c>
      <c r="D10" s="14" t="s">
        <v>6</v>
      </c>
      <c r="E10" s="15">
        <f t="shared" si="0"/>
        <v>7699999</v>
      </c>
      <c r="F10" s="13" t="s">
        <v>19</v>
      </c>
      <c r="G10" s="20">
        <v>0.85</v>
      </c>
      <c r="H10" s="19" t="s">
        <v>20</v>
      </c>
      <c r="I10" s="18" t="s">
        <v>10</v>
      </c>
      <c r="J10" s="12">
        <v>-685000</v>
      </c>
      <c r="K10" s="23">
        <f>IF(K$6&gt;$F$6,0,IF(AND(K$4&gt;$E9,K$4&lt;$C11),ROUNDDOWN(K$4*$G10+$J10,0),0))</f>
        <v>0</v>
      </c>
      <c r="L10" s="23">
        <f t="shared" si="3"/>
        <v>0</v>
      </c>
      <c r="M10" s="23">
        <f t="shared" si="3"/>
        <v>0</v>
      </c>
      <c r="N10" s="23">
        <f t="shared" si="3"/>
        <v>0</v>
      </c>
      <c r="O10" s="23">
        <f t="shared" si="3"/>
        <v>0</v>
      </c>
      <c r="P10" s="23">
        <f t="shared" si="3"/>
        <v>0</v>
      </c>
      <c r="Q10" s="23">
        <f t="shared" si="3"/>
        <v>0</v>
      </c>
      <c r="R10" s="23">
        <f t="shared" si="3"/>
        <v>0</v>
      </c>
      <c r="S10" s="23">
        <f t="shared" si="3"/>
        <v>0</v>
      </c>
      <c r="T10" s="23">
        <f>IF(T$6&gt;$F$6,0,IF(AND(T$4&gt;$E9,T$4&lt;$C11),ROUNDDOWN(T$4*$G10+$J10,0),0))</f>
        <v>0</v>
      </c>
    </row>
    <row r="11" spans="2:20" ht="20.25" customHeight="1">
      <c r="B11" s="289"/>
      <c r="C11" s="10">
        <v>7700000</v>
      </c>
      <c r="D11" s="14" t="s">
        <v>6</v>
      </c>
      <c r="E11" s="15">
        <f t="shared" si="0"/>
        <v>9999999</v>
      </c>
      <c r="F11" s="13" t="s">
        <v>19</v>
      </c>
      <c r="G11" s="20">
        <v>0.95</v>
      </c>
      <c r="H11" s="19" t="s">
        <v>20</v>
      </c>
      <c r="I11" s="18" t="s">
        <v>10</v>
      </c>
      <c r="J11" s="12">
        <v>-1455000</v>
      </c>
      <c r="K11" s="23">
        <f>IF(K$6&gt;$F$6,0,IF(AND(K$4&gt;$E10,K$4&lt;$C12),ROUNDDOWN(K$4*$G11+$J11,0),0))</f>
        <v>0</v>
      </c>
      <c r="L11" s="23">
        <f t="shared" si="3"/>
        <v>0</v>
      </c>
      <c r="M11" s="23">
        <f t="shared" si="3"/>
        <v>0</v>
      </c>
      <c r="N11" s="23">
        <f t="shared" si="3"/>
        <v>0</v>
      </c>
      <c r="O11" s="23">
        <f t="shared" si="3"/>
        <v>0</v>
      </c>
      <c r="P11" s="23">
        <f t="shared" si="3"/>
        <v>0</v>
      </c>
      <c r="Q11" s="23">
        <f t="shared" si="3"/>
        <v>0</v>
      </c>
      <c r="R11" s="23">
        <f t="shared" si="3"/>
        <v>0</v>
      </c>
      <c r="S11" s="23">
        <f t="shared" si="3"/>
        <v>0</v>
      </c>
      <c r="T11" s="23">
        <f>IF(T$6&gt;$F$6,0,IF(AND(T$4&gt;$E10,T$4&lt;$C12),ROUNDDOWN(T$4*$G11+$J11,0),0))</f>
        <v>0</v>
      </c>
    </row>
    <row r="12" spans="2:20" ht="20.25" customHeight="1">
      <c r="B12" s="289"/>
      <c r="C12" s="10">
        <v>10000000</v>
      </c>
      <c r="D12" s="14" t="s">
        <v>6</v>
      </c>
      <c r="E12" s="15"/>
      <c r="F12" s="16"/>
      <c r="G12" s="17"/>
      <c r="H12" s="14" t="s">
        <v>18</v>
      </c>
      <c r="I12" s="18" t="s">
        <v>10</v>
      </c>
      <c r="J12" s="12">
        <v>-1955000</v>
      </c>
      <c r="K12" s="23">
        <f>IF(K$6&gt;$F$6,0,IF(K$4&gt;$E11,K$4+$J12,0))</f>
        <v>0</v>
      </c>
      <c r="L12" s="23">
        <f t="shared" ref="L12:N12" si="4">IF(L$6&gt;$F$6,0,IF(L$4&gt;$E11,L$4+$J12,0))</f>
        <v>0</v>
      </c>
      <c r="M12" s="23">
        <f t="shared" si="4"/>
        <v>0</v>
      </c>
      <c r="N12" s="23">
        <f t="shared" si="4"/>
        <v>0</v>
      </c>
      <c r="O12" s="23">
        <f>IF(O$6&gt;$F$6,0,IF(O$4&gt;$E11,O$4+$J12,0))</f>
        <v>0</v>
      </c>
      <c r="P12" s="23">
        <f t="shared" ref="P12:S12" si="5">IF(P$6&gt;$F$6,0,IF(P$4&gt;$E11,P$4+$J12,0))</f>
        <v>0</v>
      </c>
      <c r="Q12" s="23">
        <f t="shared" si="5"/>
        <v>0</v>
      </c>
      <c r="R12" s="23">
        <f t="shared" si="5"/>
        <v>0</v>
      </c>
      <c r="S12" s="23">
        <f t="shared" si="5"/>
        <v>0</v>
      </c>
      <c r="T12" s="23">
        <f>IF(T$6&gt;$F$6,0,IF(T$4&gt;$E11,T$4+$J12,0))</f>
        <v>0</v>
      </c>
    </row>
    <row r="13" spans="2:20" ht="20.25" customHeight="1">
      <c r="B13" s="289" t="s">
        <v>35</v>
      </c>
      <c r="C13" s="10">
        <v>0</v>
      </c>
      <c r="D13" s="14" t="s">
        <v>6</v>
      </c>
      <c r="E13" s="15">
        <f t="shared" ref="E13:E16" si="6">C14-1</f>
        <v>1299999</v>
      </c>
      <c r="F13" s="16"/>
      <c r="G13" s="17"/>
      <c r="H13" s="14" t="s">
        <v>18</v>
      </c>
      <c r="I13" s="18" t="s">
        <v>10</v>
      </c>
      <c r="J13" s="12">
        <v>-600000</v>
      </c>
      <c r="K13" s="23">
        <f>IF(K$6&lt;=$F$6,0,IF(K$4&lt;$C14,K$4+$J13,0))</f>
        <v>0</v>
      </c>
      <c r="L13" s="23">
        <f t="shared" ref="L13:N13" si="7">IF(L$6&lt;=$F$6,0,IF(L$4&lt;$C14,L$4+$J13,0))</f>
        <v>0</v>
      </c>
      <c r="M13" s="23">
        <f t="shared" si="7"/>
        <v>0</v>
      </c>
      <c r="N13" s="23">
        <f t="shared" si="7"/>
        <v>0</v>
      </c>
      <c r="O13" s="23">
        <f>IF(O$6&lt;=$F$6,0,IF(O$4&lt;$C14,O$4+$J13,0))</f>
        <v>0</v>
      </c>
      <c r="P13" s="23">
        <f t="shared" ref="P13:S13" si="8">IF(P$6&lt;=$F$6,0,IF(P$4&lt;$C14,P$4+$J13,0))</f>
        <v>0</v>
      </c>
      <c r="Q13" s="23">
        <f t="shared" si="8"/>
        <v>0</v>
      </c>
      <c r="R13" s="23">
        <f t="shared" si="8"/>
        <v>0</v>
      </c>
      <c r="S13" s="23">
        <f t="shared" si="8"/>
        <v>0</v>
      </c>
      <c r="T13" s="23">
        <f>IF(T$6&lt;=$F$6,0,IF(T$4&lt;$C14,T$4+$J13,0))</f>
        <v>0</v>
      </c>
    </row>
    <row r="14" spans="2:20" ht="20.25" customHeight="1">
      <c r="B14" s="289"/>
      <c r="C14" s="10">
        <v>1300000</v>
      </c>
      <c r="D14" s="14" t="s">
        <v>6</v>
      </c>
      <c r="E14" s="15">
        <f t="shared" si="6"/>
        <v>4099999</v>
      </c>
      <c r="F14" s="13" t="s">
        <v>19</v>
      </c>
      <c r="G14" s="20">
        <v>0.75</v>
      </c>
      <c r="H14" s="19" t="s">
        <v>20</v>
      </c>
      <c r="I14" s="18" t="s">
        <v>10</v>
      </c>
      <c r="J14" s="12">
        <v>-275000</v>
      </c>
      <c r="K14" s="23">
        <f>IF(K$6&lt;=$F$6,0,IF(AND(K$4&gt;$E13,K$4&lt;$C15),ROUNDDOWN(K$4*$G14+$J14,0),0))</f>
        <v>0</v>
      </c>
      <c r="L14" s="23">
        <f t="shared" ref="L14:S16" si="9">IF(L$6&lt;=$F$6,0,IF(AND(L$4&gt;$E13,L$4&lt;$C15),ROUNDDOWN(L$4*$G14+$J14,0),0))</f>
        <v>0</v>
      </c>
      <c r="M14" s="23">
        <f t="shared" si="9"/>
        <v>0</v>
      </c>
      <c r="N14" s="23">
        <f t="shared" si="9"/>
        <v>0</v>
      </c>
      <c r="O14" s="23">
        <f t="shared" si="9"/>
        <v>0</v>
      </c>
      <c r="P14" s="23">
        <f t="shared" si="9"/>
        <v>0</v>
      </c>
      <c r="Q14" s="23">
        <f t="shared" si="9"/>
        <v>0</v>
      </c>
      <c r="R14" s="23">
        <f t="shared" si="9"/>
        <v>0</v>
      </c>
      <c r="S14" s="23">
        <f t="shared" si="9"/>
        <v>0</v>
      </c>
      <c r="T14" s="23">
        <f>IF(T$6&lt;=$F$6,0,IF(AND(T$4&gt;$E13,T$4&lt;$C15),ROUNDDOWN(T$4*$G14+$J14,0),0))</f>
        <v>0</v>
      </c>
    </row>
    <row r="15" spans="2:20" ht="20.25" customHeight="1">
      <c r="B15" s="289"/>
      <c r="C15" s="10">
        <v>4100000</v>
      </c>
      <c r="D15" s="14" t="s">
        <v>6</v>
      </c>
      <c r="E15" s="15">
        <f t="shared" si="6"/>
        <v>7699999</v>
      </c>
      <c r="F15" s="13" t="s">
        <v>19</v>
      </c>
      <c r="G15" s="20">
        <v>0.85</v>
      </c>
      <c r="H15" s="19" t="s">
        <v>20</v>
      </c>
      <c r="I15" s="18" t="s">
        <v>10</v>
      </c>
      <c r="J15" s="12">
        <v>-685000</v>
      </c>
      <c r="K15" s="23">
        <f>IF(K$6&lt;=$F$6,0,IF(AND(K$4&gt;$E14,K$4&lt;$C16),ROUNDDOWN(K$4*$G15+$J15,0),0))</f>
        <v>0</v>
      </c>
      <c r="L15" s="23">
        <f t="shared" si="9"/>
        <v>0</v>
      </c>
      <c r="M15" s="23">
        <f t="shared" si="9"/>
        <v>0</v>
      </c>
      <c r="N15" s="23">
        <f t="shared" si="9"/>
        <v>0</v>
      </c>
      <c r="O15" s="23">
        <f t="shared" si="9"/>
        <v>0</v>
      </c>
      <c r="P15" s="23">
        <f t="shared" si="9"/>
        <v>0</v>
      </c>
      <c r="Q15" s="23">
        <f t="shared" si="9"/>
        <v>0</v>
      </c>
      <c r="R15" s="23">
        <f t="shared" si="9"/>
        <v>0</v>
      </c>
      <c r="S15" s="23">
        <f t="shared" si="9"/>
        <v>0</v>
      </c>
      <c r="T15" s="23">
        <f>IF(T$6&lt;=$F$6,0,IF(AND(T$4&gt;$E14,T$4&lt;$C16),ROUNDDOWN(T$4*$G15+$J15,0),0))</f>
        <v>0</v>
      </c>
    </row>
    <row r="16" spans="2:20" ht="20.25" customHeight="1">
      <c r="B16" s="289"/>
      <c r="C16" s="10">
        <v>7700000</v>
      </c>
      <c r="D16" s="14" t="s">
        <v>6</v>
      </c>
      <c r="E16" s="15">
        <f t="shared" si="6"/>
        <v>9999999</v>
      </c>
      <c r="F16" s="13" t="s">
        <v>19</v>
      </c>
      <c r="G16" s="20">
        <v>0.95</v>
      </c>
      <c r="H16" s="19" t="s">
        <v>20</v>
      </c>
      <c r="I16" s="18" t="s">
        <v>10</v>
      </c>
      <c r="J16" s="12">
        <v>-1455000</v>
      </c>
      <c r="K16" s="23">
        <f>IF(K$6&lt;=$F$6,0,IF(AND(K$4&gt;$E15,K$4&lt;$C17),ROUNDDOWN(K$4*$G16+$J16,0),0))</f>
        <v>0</v>
      </c>
      <c r="L16" s="23">
        <f t="shared" si="9"/>
        <v>0</v>
      </c>
      <c r="M16" s="23">
        <f t="shared" si="9"/>
        <v>0</v>
      </c>
      <c r="N16" s="23">
        <f t="shared" si="9"/>
        <v>0</v>
      </c>
      <c r="O16" s="23">
        <f t="shared" si="9"/>
        <v>0</v>
      </c>
      <c r="P16" s="23">
        <f t="shared" si="9"/>
        <v>0</v>
      </c>
      <c r="Q16" s="23">
        <f t="shared" si="9"/>
        <v>0</v>
      </c>
      <c r="R16" s="23">
        <f t="shared" si="9"/>
        <v>0</v>
      </c>
      <c r="S16" s="23">
        <f t="shared" si="9"/>
        <v>0</v>
      </c>
      <c r="T16" s="23">
        <f>IF(T$6&lt;=$F$6,0,IF(AND(T$4&gt;$E15,T$4&lt;$C17),ROUNDDOWN(T$4*$G16+$J16,0),0))</f>
        <v>0</v>
      </c>
    </row>
    <row r="17" spans="2:20" ht="20.25" customHeight="1">
      <c r="B17" s="289"/>
      <c r="C17" s="10">
        <v>10000000</v>
      </c>
      <c r="D17" s="14" t="s">
        <v>6</v>
      </c>
      <c r="E17" s="15"/>
      <c r="F17" s="16"/>
      <c r="G17" s="17"/>
      <c r="H17" s="14" t="s">
        <v>18</v>
      </c>
      <c r="I17" s="18" t="s">
        <v>10</v>
      </c>
      <c r="J17" s="12">
        <v>-1955000</v>
      </c>
      <c r="K17" s="23">
        <f>IF(K$6&lt;=$F$6,0,IF(K$4&gt;$E16,K$4+$J17,0))</f>
        <v>0</v>
      </c>
      <c r="L17" s="23">
        <f t="shared" ref="L17:N17" si="10">IF(L$6&lt;=$F$6,0,IF(L$4&gt;$E16,L$4+$J17,0))</f>
        <v>0</v>
      </c>
      <c r="M17" s="23">
        <f t="shared" si="10"/>
        <v>0</v>
      </c>
      <c r="N17" s="23">
        <f t="shared" si="10"/>
        <v>0</v>
      </c>
      <c r="O17" s="23">
        <f>IF(O$6&lt;=$F$6,0,IF(O$4&gt;$E16,O$4+$J17,0))</f>
        <v>0</v>
      </c>
      <c r="P17" s="23">
        <f t="shared" ref="P17:S17" si="11">IF(P$6&lt;=$F$6,0,IF(P$4&gt;$E16,P$4+$J17,0))</f>
        <v>0</v>
      </c>
      <c r="Q17" s="23">
        <f t="shared" si="11"/>
        <v>0</v>
      </c>
      <c r="R17" s="23">
        <f t="shared" si="11"/>
        <v>0</v>
      </c>
      <c r="S17" s="23">
        <f t="shared" si="11"/>
        <v>0</v>
      </c>
      <c r="T17" s="23">
        <f>IF(T$6&lt;=$F$6,0,IF(T$4&gt;$E16,T$4+$J17,0))</f>
        <v>0</v>
      </c>
    </row>
    <row r="18" spans="2:20" ht="10.5" customHeight="1"/>
    <row r="19" spans="2:20" ht="20.25" customHeight="1">
      <c r="B19" s="1" t="s">
        <v>38</v>
      </c>
    </row>
    <row r="20" spans="2:20" ht="20.25" customHeight="1">
      <c r="C20" s="299" t="s">
        <v>37</v>
      </c>
      <c r="D20" s="300"/>
      <c r="E20" s="301"/>
      <c r="F20" s="277" t="s">
        <v>39</v>
      </c>
      <c r="G20" s="278"/>
      <c r="H20" s="278"/>
      <c r="I20" s="278"/>
      <c r="J20" s="279"/>
      <c r="K20" s="277" t="s">
        <v>44</v>
      </c>
      <c r="L20" s="278"/>
      <c r="M20" s="278"/>
      <c r="N20" s="278"/>
      <c r="O20" s="278"/>
      <c r="P20" s="278"/>
      <c r="Q20" s="278"/>
      <c r="R20" s="278"/>
      <c r="S20" s="278"/>
      <c r="T20" s="279"/>
    </row>
    <row r="21" spans="2:20" ht="20.25" customHeight="1">
      <c r="C21" s="10">
        <v>0</v>
      </c>
      <c r="D21" s="14" t="s">
        <v>6</v>
      </c>
      <c r="E21" s="12">
        <v>10000000</v>
      </c>
      <c r="F21" s="296">
        <v>0</v>
      </c>
      <c r="G21" s="297"/>
      <c r="H21" s="297"/>
      <c r="I21" s="297"/>
      <c r="J21" s="298"/>
      <c r="K21" s="61">
        <f>$F21</f>
        <v>0</v>
      </c>
      <c r="L21" s="61">
        <f t="shared" ref="L21:N21" si="12">$F21</f>
        <v>0</v>
      </c>
      <c r="M21" s="61">
        <f t="shared" si="12"/>
        <v>0</v>
      </c>
      <c r="N21" s="61">
        <f t="shared" si="12"/>
        <v>0</v>
      </c>
      <c r="O21" s="61">
        <f>$F21</f>
        <v>0</v>
      </c>
      <c r="P21" s="61">
        <f t="shared" ref="P21:T21" si="13">$F21</f>
        <v>0</v>
      </c>
      <c r="Q21" s="61">
        <f t="shared" si="13"/>
        <v>0</v>
      </c>
      <c r="R21" s="61">
        <f t="shared" si="13"/>
        <v>0</v>
      </c>
      <c r="S21" s="61">
        <f t="shared" si="13"/>
        <v>0</v>
      </c>
      <c r="T21" s="61">
        <f t="shared" si="13"/>
        <v>0</v>
      </c>
    </row>
    <row r="22" spans="2:20" ht="20.25" customHeight="1">
      <c r="C22" s="37">
        <f>E21+1</f>
        <v>10000001</v>
      </c>
      <c r="D22" s="14" t="s">
        <v>6</v>
      </c>
      <c r="E22" s="12">
        <v>20000000</v>
      </c>
      <c r="F22" s="296">
        <v>100000</v>
      </c>
      <c r="G22" s="297"/>
      <c r="H22" s="297"/>
      <c r="I22" s="297"/>
      <c r="J22" s="298"/>
      <c r="K22" s="22">
        <f>IF(AND(K$5&gt;$E21,K$5&lt;$C23),$F22,0)</f>
        <v>0</v>
      </c>
      <c r="L22" s="22">
        <f t="shared" ref="L22:N22" si="14">IF(AND(L$5&gt;$E21,L$5&lt;$C23),$F22,0)</f>
        <v>0</v>
      </c>
      <c r="M22" s="22">
        <f t="shared" si="14"/>
        <v>0</v>
      </c>
      <c r="N22" s="22">
        <f t="shared" si="14"/>
        <v>0</v>
      </c>
      <c r="O22" s="22">
        <f t="shared" ref="O22:T22" si="15">IF(AND(O$5&gt;$E21,O$5&lt;$C23),$F22,0)</f>
        <v>0</v>
      </c>
      <c r="P22" s="22">
        <f t="shared" si="15"/>
        <v>0</v>
      </c>
      <c r="Q22" s="22">
        <f t="shared" si="15"/>
        <v>0</v>
      </c>
      <c r="R22" s="22">
        <f t="shared" si="15"/>
        <v>0</v>
      </c>
      <c r="S22" s="22">
        <f t="shared" si="15"/>
        <v>0</v>
      </c>
      <c r="T22" s="22">
        <f t="shared" si="15"/>
        <v>0</v>
      </c>
    </row>
    <row r="23" spans="2:20" ht="20.25" customHeight="1" thickBot="1">
      <c r="C23" s="37">
        <f>E22+1</f>
        <v>20000001</v>
      </c>
      <c r="D23" s="14" t="s">
        <v>6</v>
      </c>
      <c r="E23" s="15"/>
      <c r="F23" s="296">
        <v>200000</v>
      </c>
      <c r="G23" s="297"/>
      <c r="H23" s="297"/>
      <c r="I23" s="297"/>
      <c r="J23" s="298"/>
      <c r="K23" s="24">
        <f>IF(K$5&gt;$E22,$F23,0)</f>
        <v>0</v>
      </c>
      <c r="L23" s="24">
        <f t="shared" ref="L23:N23" si="16">IF(L$5&gt;$E22,$F23,0)</f>
        <v>0</v>
      </c>
      <c r="M23" s="24">
        <f t="shared" si="16"/>
        <v>0</v>
      </c>
      <c r="N23" s="24">
        <f t="shared" si="16"/>
        <v>0</v>
      </c>
      <c r="O23" s="24">
        <f>IF(O$5&gt;$E22,$F23,0)</f>
        <v>0</v>
      </c>
      <c r="P23" s="24">
        <f>IF(P$5&gt;$E22,$F23,0)</f>
        <v>0</v>
      </c>
      <c r="Q23" s="24">
        <f>IF(Q$5&gt;$E22,$F23,0)</f>
        <v>0</v>
      </c>
      <c r="R23" s="24">
        <f t="shared" ref="R23:S23" si="17">IF(R$5&gt;$E22,$F23,0)</f>
        <v>0</v>
      </c>
      <c r="S23" s="24">
        <f t="shared" si="17"/>
        <v>0</v>
      </c>
      <c r="T23" s="24">
        <f>IF(T$5&gt;$E22,$F23,0)</f>
        <v>0</v>
      </c>
    </row>
    <row r="24" spans="2:20" ht="20.25" customHeight="1" thickBot="1">
      <c r="J24" s="3" t="s">
        <v>40</v>
      </c>
      <c r="K24" s="39">
        <f>IF(SUM(K8:K17,K21:K23)&lt;0,0,SUM(K8:K17,K21:K23))</f>
        <v>0</v>
      </c>
      <c r="L24" s="33">
        <f t="shared" ref="L24:N24" si="18">IF(SUM(L8:L17,L21:L23)&lt;0,0,SUM(L8:L17,L21:L23))</f>
        <v>0</v>
      </c>
      <c r="M24" s="33">
        <f t="shared" si="18"/>
        <v>0</v>
      </c>
      <c r="N24" s="33">
        <f t="shared" si="18"/>
        <v>0</v>
      </c>
      <c r="O24" s="40">
        <f>IF(SUM(O8:O17,O21:O23)&lt;0,0,SUM(O8:O17,O21:O23))</f>
        <v>0</v>
      </c>
      <c r="P24" s="40">
        <f t="shared" ref="P24:S24" si="19">IF(SUM(P8:P17,P21:P23)&lt;0,0,SUM(P8:P17,P21:P23))</f>
        <v>0</v>
      </c>
      <c r="Q24" s="40">
        <f t="shared" si="19"/>
        <v>0</v>
      </c>
      <c r="R24" s="40">
        <f t="shared" si="19"/>
        <v>0</v>
      </c>
      <c r="S24" s="40">
        <f t="shared" si="19"/>
        <v>0</v>
      </c>
      <c r="T24" s="42">
        <f>IF(SUM(T8:T17,T21:T23)&lt;0,0,SUM(T8:T17,T21:T23))</f>
        <v>0</v>
      </c>
    </row>
    <row r="28" spans="2:20" ht="20.25" customHeight="1">
      <c r="F28" s="51"/>
      <c r="G28" s="52"/>
      <c r="H28" s="52"/>
    </row>
  </sheetData>
  <sheetProtection password="C65F" sheet="1" objects="1" scenarios="1" selectLockedCells="1" selectUnlockedCells="1"/>
  <mergeCells count="18">
    <mergeCell ref="F23:J23"/>
    <mergeCell ref="C20:E20"/>
    <mergeCell ref="F20:J20"/>
    <mergeCell ref="F21:J21"/>
    <mergeCell ref="F22:J22"/>
    <mergeCell ref="K20:T20"/>
    <mergeCell ref="B3:C3"/>
    <mergeCell ref="D3:E3"/>
    <mergeCell ref="C6:E6"/>
    <mergeCell ref="F6:H6"/>
    <mergeCell ref="I6:J6"/>
    <mergeCell ref="K7:T7"/>
    <mergeCell ref="B8:B12"/>
    <mergeCell ref="B13:B17"/>
    <mergeCell ref="F5:J5"/>
    <mergeCell ref="I4:J4"/>
    <mergeCell ref="C7:E7"/>
    <mergeCell ref="F7:J7"/>
  </mergeCells>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A2:P10"/>
  <sheetViews>
    <sheetView showGridLines="0" topLeftCell="BA1" zoomScale="85" zoomScaleNormal="85" workbookViewId="0">
      <selection sqref="A1:AZ1048576"/>
    </sheetView>
  </sheetViews>
  <sheetFormatPr defaultRowHeight="20.25" customHeight="1"/>
  <cols>
    <col min="1" max="1" width="2.5" style="1" hidden="1" customWidth="1"/>
    <col min="2" max="2" width="3.625" style="1" hidden="1" customWidth="1"/>
    <col min="3" max="3" width="11" style="1" hidden="1" customWidth="1"/>
    <col min="4" max="4" width="3.875" style="1" hidden="1" customWidth="1"/>
    <col min="5" max="5" width="11" style="1" hidden="1" customWidth="1"/>
    <col min="6" max="6" width="15.5" style="1" hidden="1" customWidth="1"/>
    <col min="7" max="16" width="11.625" style="1" hidden="1" customWidth="1"/>
    <col min="17" max="52" width="0" style="1" hidden="1" customWidth="1"/>
    <col min="53" max="16384" width="9" style="1"/>
  </cols>
  <sheetData>
    <row r="2" spans="3:16" ht="20.25" customHeight="1">
      <c r="C2" s="35" t="s">
        <v>31</v>
      </c>
    </row>
    <row r="3" spans="3:16" ht="20.25" customHeight="1" thickBot="1">
      <c r="C3" s="49" t="s">
        <v>59</v>
      </c>
      <c r="D3" s="281">
        <f>入力用!S2</f>
        <v>2025</v>
      </c>
      <c r="E3" s="281"/>
      <c r="F3" s="35"/>
      <c r="G3" s="36" t="s">
        <v>14</v>
      </c>
      <c r="H3" s="36" t="s">
        <v>15</v>
      </c>
      <c r="I3" s="36" t="s">
        <v>21</v>
      </c>
      <c r="J3" s="36" t="s">
        <v>22</v>
      </c>
      <c r="K3" s="36" t="s">
        <v>23</v>
      </c>
      <c r="L3" s="36" t="s">
        <v>69</v>
      </c>
      <c r="M3" s="36" t="s">
        <v>70</v>
      </c>
      <c r="N3" s="36" t="s">
        <v>71</v>
      </c>
      <c r="O3" s="36" t="s">
        <v>72</v>
      </c>
      <c r="P3" s="36" t="s">
        <v>73</v>
      </c>
    </row>
    <row r="4" spans="3:16" ht="20.25" customHeight="1" thickBot="1">
      <c r="D4"/>
      <c r="E4"/>
      <c r="F4" s="45" t="s">
        <v>42</v>
      </c>
      <c r="G4" s="32">
        <f>入力用!$O8+入力用!$U8+入力用!$X8-入力用!$AA8</f>
        <v>0</v>
      </c>
      <c r="H4" s="32">
        <f>入力用!$O9+入力用!$U9+入力用!$X9-入力用!$AA9</f>
        <v>0</v>
      </c>
      <c r="I4" s="32">
        <f>入力用!$O10+入力用!$U10+入力用!$X10-入力用!$AA10</f>
        <v>0</v>
      </c>
      <c r="J4" s="32">
        <f>入力用!$O11+入力用!$U11+入力用!$X11-入力用!$AA11</f>
        <v>0</v>
      </c>
      <c r="K4" s="54">
        <f>入力用!$O12+入力用!$U12+入力用!$X12-入力用!$AA12</f>
        <v>0</v>
      </c>
      <c r="L4" s="32">
        <f>入力用!$O13+入力用!$U13+入力用!$X13-入力用!$AA13</f>
        <v>0</v>
      </c>
      <c r="M4" s="32">
        <f>入力用!$O14+入力用!$U14+入力用!$X14-入力用!$AA14</f>
        <v>0</v>
      </c>
      <c r="N4" s="32">
        <f>入力用!$O15+入力用!$U15+入力用!$X15-入力用!$AA15</f>
        <v>0</v>
      </c>
      <c r="O4" s="32">
        <f>入力用!$O16+入力用!$U16+入力用!$X16-入力用!$AA16</f>
        <v>0</v>
      </c>
      <c r="P4" s="55">
        <f>入力用!$O17+入力用!$U17+入力用!$X17-入力用!$AA17</f>
        <v>0</v>
      </c>
    </row>
    <row r="5" spans="3:16" ht="20.25" customHeight="1">
      <c r="C5" s="265" t="s">
        <v>42</v>
      </c>
      <c r="D5" s="266"/>
      <c r="E5" s="267"/>
      <c r="F5" s="44" t="s">
        <v>43</v>
      </c>
      <c r="G5" s="274" t="s">
        <v>45</v>
      </c>
      <c r="H5" s="275"/>
      <c r="I5" s="275"/>
      <c r="J5" s="275"/>
      <c r="K5" s="275"/>
      <c r="L5" s="275"/>
      <c r="M5" s="275"/>
      <c r="N5" s="275"/>
      <c r="O5" s="275"/>
      <c r="P5" s="276"/>
    </row>
    <row r="6" spans="3:16" ht="20.25" customHeight="1">
      <c r="C6" s="10">
        <v>0</v>
      </c>
      <c r="D6" s="14" t="s">
        <v>6</v>
      </c>
      <c r="E6" s="12">
        <v>24000000</v>
      </c>
      <c r="F6" s="43">
        <v>430000</v>
      </c>
      <c r="G6" s="61">
        <f>IF(G$4&lt;$C7,$F6,0)</f>
        <v>430000</v>
      </c>
      <c r="H6" s="61">
        <f t="shared" ref="H6:J6" si="0">IF(H$4&lt;$C7,$F6,0)</f>
        <v>430000</v>
      </c>
      <c r="I6" s="61">
        <f t="shared" si="0"/>
        <v>430000</v>
      </c>
      <c r="J6" s="61">
        <f t="shared" si="0"/>
        <v>430000</v>
      </c>
      <c r="K6" s="61">
        <f>IF(K$4&lt;$C7,$F6,0)</f>
        <v>430000</v>
      </c>
      <c r="L6" s="61">
        <f t="shared" ref="L6:O6" si="1">IF(L$4&lt;$C7,$F6,0)</f>
        <v>430000</v>
      </c>
      <c r="M6" s="61">
        <f t="shared" si="1"/>
        <v>430000</v>
      </c>
      <c r="N6" s="61">
        <f t="shared" si="1"/>
        <v>430000</v>
      </c>
      <c r="O6" s="61">
        <f t="shared" si="1"/>
        <v>430000</v>
      </c>
      <c r="P6" s="61">
        <f>IF(P$4&lt;$C7,$F6,0)</f>
        <v>430000</v>
      </c>
    </row>
    <row r="7" spans="3:16" ht="20.25" customHeight="1">
      <c r="C7" s="37">
        <f>E6+1</f>
        <v>24000001</v>
      </c>
      <c r="D7" s="14" t="s">
        <v>6</v>
      </c>
      <c r="E7" s="12">
        <v>24500000</v>
      </c>
      <c r="F7" s="43">
        <v>290000</v>
      </c>
      <c r="G7" s="22">
        <f>IF(AND(G$4&gt;$E6,G$4&lt;$C8),$F7,0)</f>
        <v>0</v>
      </c>
      <c r="H7" s="22">
        <f t="shared" ref="H7:J8" si="2">IF(AND(H$4&gt;$E6,H$4&lt;$C8),$F7,0)</f>
        <v>0</v>
      </c>
      <c r="I7" s="22">
        <f t="shared" si="2"/>
        <v>0</v>
      </c>
      <c r="J7" s="22">
        <f t="shared" si="2"/>
        <v>0</v>
      </c>
      <c r="K7" s="22">
        <f>IF(AND(K$4&gt;$E6,K$4&lt;$C8),$F7,0)</f>
        <v>0</v>
      </c>
      <c r="L7" s="22">
        <f t="shared" ref="L7:O8" si="3">IF(AND(L$4&gt;$E6,L$4&lt;$C8),$F7,0)</f>
        <v>0</v>
      </c>
      <c r="M7" s="22">
        <f t="shared" si="3"/>
        <v>0</v>
      </c>
      <c r="N7" s="22">
        <f t="shared" si="3"/>
        <v>0</v>
      </c>
      <c r="O7" s="22">
        <f t="shared" si="3"/>
        <v>0</v>
      </c>
      <c r="P7" s="22">
        <f>IF(AND(P$4&gt;$E6,P$4&lt;$C8),$F7,0)</f>
        <v>0</v>
      </c>
    </row>
    <row r="8" spans="3:16" ht="20.25" customHeight="1">
      <c r="C8" s="37">
        <f>E7+1</f>
        <v>24500001</v>
      </c>
      <c r="D8" s="14" t="s">
        <v>6</v>
      </c>
      <c r="E8" s="12">
        <v>25000000</v>
      </c>
      <c r="F8" s="43">
        <v>150000</v>
      </c>
      <c r="G8" s="22">
        <f>IF(AND(G$4&gt;$E7,G$4&lt;$C9),$F8,0)</f>
        <v>0</v>
      </c>
      <c r="H8" s="22">
        <f t="shared" si="2"/>
        <v>0</v>
      </c>
      <c r="I8" s="22">
        <f t="shared" si="2"/>
        <v>0</v>
      </c>
      <c r="J8" s="22">
        <f t="shared" si="2"/>
        <v>0</v>
      </c>
      <c r="K8" s="22">
        <f>IF(AND(K$4&gt;$E7,K$4&lt;$C9),$F8,0)</f>
        <v>0</v>
      </c>
      <c r="L8" s="22">
        <f t="shared" si="3"/>
        <v>0</v>
      </c>
      <c r="M8" s="22">
        <f t="shared" si="3"/>
        <v>0</v>
      </c>
      <c r="N8" s="22">
        <f t="shared" si="3"/>
        <v>0</v>
      </c>
      <c r="O8" s="22">
        <f t="shared" si="3"/>
        <v>0</v>
      </c>
      <c r="P8" s="22">
        <f>IF(AND(P$4&gt;$E7,P$4&lt;$C9),$F8,0)</f>
        <v>0</v>
      </c>
    </row>
    <row r="9" spans="3:16" ht="20.25" customHeight="1" thickBot="1">
      <c r="C9" s="37">
        <f>E8+1</f>
        <v>25000001</v>
      </c>
      <c r="D9" s="14" t="s">
        <v>6</v>
      </c>
      <c r="E9" s="15"/>
      <c r="F9" s="43">
        <v>0</v>
      </c>
      <c r="G9" s="22">
        <f>$F9</f>
        <v>0</v>
      </c>
      <c r="H9" s="22">
        <f t="shared" ref="H9:J9" si="4">$F9</f>
        <v>0</v>
      </c>
      <c r="I9" s="22">
        <f t="shared" si="4"/>
        <v>0</v>
      </c>
      <c r="J9" s="22">
        <f t="shared" si="4"/>
        <v>0</v>
      </c>
      <c r="K9" s="22">
        <f>$F9</f>
        <v>0</v>
      </c>
      <c r="L9" s="22">
        <f t="shared" ref="L9:O9" si="5">$F9</f>
        <v>0</v>
      </c>
      <c r="M9" s="22">
        <f t="shared" si="5"/>
        <v>0</v>
      </c>
      <c r="N9" s="22">
        <f t="shared" si="5"/>
        <v>0</v>
      </c>
      <c r="O9" s="22">
        <f t="shared" si="5"/>
        <v>0</v>
      </c>
      <c r="P9" s="22">
        <f>$F9</f>
        <v>0</v>
      </c>
    </row>
    <row r="10" spans="3:16" ht="20.25" customHeight="1" thickBot="1">
      <c r="F10" s="3"/>
      <c r="G10" s="41">
        <f>SUM(G6:G9)</f>
        <v>430000</v>
      </c>
      <c r="H10" s="33">
        <f t="shared" ref="H10:J10" si="6">SUM(H6:H9)</f>
        <v>430000</v>
      </c>
      <c r="I10" s="33">
        <f t="shared" si="6"/>
        <v>430000</v>
      </c>
      <c r="J10" s="33">
        <f t="shared" si="6"/>
        <v>430000</v>
      </c>
      <c r="K10" s="56">
        <f>SUM(K6:K9)</f>
        <v>430000</v>
      </c>
      <c r="L10" s="33">
        <f t="shared" ref="L10:O10" si="7">SUM(L6:L9)</f>
        <v>430000</v>
      </c>
      <c r="M10" s="33">
        <f t="shared" si="7"/>
        <v>430000</v>
      </c>
      <c r="N10" s="33">
        <f t="shared" si="7"/>
        <v>430000</v>
      </c>
      <c r="O10" s="33">
        <f t="shared" si="7"/>
        <v>430000</v>
      </c>
      <c r="P10" s="57">
        <f>SUM(P6:P9)</f>
        <v>430000</v>
      </c>
    </row>
  </sheetData>
  <sheetProtection password="C65F" sheet="1" objects="1" scenarios="1" selectLockedCells="1" selectUnlockedCells="1"/>
  <mergeCells count="3">
    <mergeCell ref="C5:E5"/>
    <mergeCell ref="D3:E3"/>
    <mergeCell ref="G5:P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1"/>
    <pageSetUpPr fitToPage="1"/>
  </sheetPr>
  <dimension ref="A1:AJ40"/>
  <sheetViews>
    <sheetView showGridLines="0" topLeftCell="BA1" zoomScale="85" zoomScaleNormal="85" zoomScaleSheetLayoutView="85" zoomScalePageLayoutView="70" workbookViewId="0">
      <selection sqref="A1:AZ1048576"/>
    </sheetView>
  </sheetViews>
  <sheetFormatPr defaultColWidth="5" defaultRowHeight="12"/>
  <cols>
    <col min="1" max="1" width="0.75" style="148" hidden="1" customWidth="1"/>
    <col min="2" max="2" width="5" style="148" hidden="1" customWidth="1"/>
    <col min="3" max="3" width="0" style="148" hidden="1" customWidth="1"/>
    <col min="4" max="4" width="5" style="148" hidden="1" customWidth="1"/>
    <col min="5" max="5" width="0" style="148" hidden="1" customWidth="1"/>
    <col min="6" max="6" width="5" style="148" hidden="1" customWidth="1"/>
    <col min="7" max="7" width="0" style="148" hidden="1" customWidth="1"/>
    <col min="8" max="25" width="4.5" style="148" hidden="1" customWidth="1"/>
    <col min="26" max="32" width="0" style="148" hidden="1" customWidth="1"/>
    <col min="33" max="33" width="5.5" style="148" hidden="1" customWidth="1"/>
    <col min="34" max="34" width="0" style="148" hidden="1" customWidth="1"/>
    <col min="35" max="35" width="6.125" style="148" hidden="1" customWidth="1"/>
    <col min="36" max="36" width="9.75" style="148" hidden="1" customWidth="1"/>
    <col min="37" max="52" width="0" style="148" hidden="1" customWidth="1"/>
    <col min="53" max="16384" width="5" style="148"/>
  </cols>
  <sheetData>
    <row r="1" spans="2:36" ht="18" customHeight="1"/>
    <row r="2" spans="2:36" ht="18" customHeight="1">
      <c r="B2" s="149" t="s">
        <v>184</v>
      </c>
      <c r="C2" s="150"/>
      <c r="D2" s="150"/>
      <c r="AG2" s="319" t="s">
        <v>176</v>
      </c>
      <c r="AH2" s="320"/>
      <c r="AI2" s="321"/>
      <c r="AJ2" s="151">
        <v>550000</v>
      </c>
    </row>
    <row r="3" spans="2:36" ht="18" customHeight="1">
      <c r="B3" s="330" t="s">
        <v>58</v>
      </c>
      <c r="C3" s="331"/>
      <c r="D3" s="328">
        <f>入力用!S2</f>
        <v>2025</v>
      </c>
      <c r="E3" s="329"/>
      <c r="N3" s="338" t="s">
        <v>161</v>
      </c>
      <c r="O3" s="338"/>
      <c r="P3" s="338"/>
      <c r="Q3" s="338"/>
      <c r="R3" s="338"/>
      <c r="S3" s="339"/>
      <c r="T3" s="336">
        <f>DATE(D3-65,1,1)</f>
        <v>21916</v>
      </c>
      <c r="U3" s="337"/>
      <c r="V3" s="337"/>
      <c r="AG3" s="319" t="s">
        <v>177</v>
      </c>
      <c r="AH3" s="320"/>
      <c r="AI3" s="321"/>
      <c r="AJ3" s="151">
        <v>600000</v>
      </c>
    </row>
    <row r="4" spans="2:36" ht="18" customHeight="1">
      <c r="B4" s="326" t="s">
        <v>179</v>
      </c>
      <c r="C4" s="326"/>
      <c r="D4" s="326"/>
      <c r="E4" s="326"/>
      <c r="F4" s="326"/>
      <c r="N4" s="338" t="s">
        <v>160</v>
      </c>
      <c r="O4" s="338"/>
      <c r="P4" s="338"/>
      <c r="Q4" s="338"/>
      <c r="R4" s="338"/>
      <c r="S4" s="339"/>
      <c r="T4" s="303">
        <v>150000</v>
      </c>
      <c r="U4" s="302"/>
      <c r="V4" s="335"/>
      <c r="Z4" s="342" t="s">
        <v>162</v>
      </c>
      <c r="AA4" s="343"/>
      <c r="AB4" s="343"/>
      <c r="AC4" s="343"/>
      <c r="AD4" s="343"/>
      <c r="AE4" s="344"/>
      <c r="AG4" s="319" t="s">
        <v>178</v>
      </c>
      <c r="AH4" s="320"/>
      <c r="AI4" s="321"/>
      <c r="AJ4" s="151">
        <v>1250000</v>
      </c>
    </row>
    <row r="5" spans="2:36" ht="7.5" customHeight="1">
      <c r="B5" s="327"/>
      <c r="C5" s="327"/>
      <c r="D5" s="327"/>
      <c r="E5" s="327"/>
      <c r="F5" s="327"/>
      <c r="T5" s="152"/>
      <c r="U5" s="153"/>
      <c r="V5" s="154"/>
      <c r="Z5" s="155"/>
      <c r="AA5" s="155"/>
      <c r="AB5" s="155"/>
      <c r="AC5" s="155"/>
      <c r="AD5" s="155"/>
      <c r="AE5" s="155"/>
      <c r="AJ5" s="155"/>
    </row>
    <row r="6" spans="2:36" s="156" customFormat="1" ht="27" customHeight="1">
      <c r="B6" s="322"/>
      <c r="C6" s="323"/>
      <c r="D6" s="324" t="s">
        <v>16</v>
      </c>
      <c r="E6" s="323"/>
      <c r="F6" s="324" t="s">
        <v>125</v>
      </c>
      <c r="G6" s="323"/>
      <c r="H6" s="325" t="s">
        <v>0</v>
      </c>
      <c r="I6" s="325"/>
      <c r="J6" s="325"/>
      <c r="K6" s="325" t="s">
        <v>1</v>
      </c>
      <c r="L6" s="325"/>
      <c r="M6" s="325"/>
      <c r="N6" s="325" t="s">
        <v>2</v>
      </c>
      <c r="O6" s="325"/>
      <c r="P6" s="325"/>
      <c r="Q6" s="325" t="s">
        <v>3</v>
      </c>
      <c r="R6" s="325"/>
      <c r="S6" s="324"/>
      <c r="T6" s="332" t="s">
        <v>159</v>
      </c>
      <c r="U6" s="333"/>
      <c r="V6" s="334"/>
      <c r="W6" s="323" t="s">
        <v>4</v>
      </c>
      <c r="X6" s="325"/>
      <c r="Y6" s="324"/>
      <c r="Z6" s="340" t="s">
        <v>149</v>
      </c>
      <c r="AA6" s="341"/>
      <c r="AB6" s="341" t="s">
        <v>163</v>
      </c>
      <c r="AC6" s="341"/>
      <c r="AD6" s="341" t="s">
        <v>126</v>
      </c>
      <c r="AE6" s="352"/>
      <c r="AF6" s="325" t="s">
        <v>158</v>
      </c>
      <c r="AG6" s="325"/>
      <c r="AH6" s="324"/>
      <c r="AI6" s="143" t="s">
        <v>172</v>
      </c>
      <c r="AJ6" s="144" t="s">
        <v>174</v>
      </c>
    </row>
    <row r="7" spans="2:36" ht="18" customHeight="1">
      <c r="B7" s="345" t="s">
        <v>14</v>
      </c>
      <c r="C7" s="346"/>
      <c r="D7" s="347" t="str">
        <f>IF(入力用!H8="","",入力用!H8)</f>
        <v/>
      </c>
      <c r="E7" s="348"/>
      <c r="F7" s="349">
        <f>入力用!J8</f>
        <v>0</v>
      </c>
      <c r="G7" s="350"/>
      <c r="H7" s="351">
        <f>入力用!L8</f>
        <v>0</v>
      </c>
      <c r="I7" s="351"/>
      <c r="J7" s="351"/>
      <c r="K7" s="351">
        <f>入力用!O8</f>
        <v>0</v>
      </c>
      <c r="L7" s="351"/>
      <c r="M7" s="351"/>
      <c r="N7" s="351">
        <f>入力用!R8</f>
        <v>0</v>
      </c>
      <c r="O7" s="351"/>
      <c r="P7" s="351"/>
      <c r="Q7" s="351">
        <f>入力用!U8</f>
        <v>0</v>
      </c>
      <c r="R7" s="351"/>
      <c r="S7" s="359"/>
      <c r="T7" s="353">
        <f t="shared" ref="T7:T16" si="0">IF(D7&gt;T$3,Q7,MAX(Q7-T$4,0))</f>
        <v>0</v>
      </c>
      <c r="U7" s="351"/>
      <c r="V7" s="354"/>
      <c r="W7" s="360">
        <f>入力用!X8</f>
        <v>0</v>
      </c>
      <c r="X7" s="351"/>
      <c r="Y7" s="359"/>
      <c r="Z7" s="355">
        <f t="shared" ref="Z7:Z16" si="1">MIN(K7,AB$17)</f>
        <v>0</v>
      </c>
      <c r="AA7" s="356"/>
      <c r="AB7" s="357">
        <f t="shared" ref="AB7:AB16" si="2">MIN(T7,AB$17)</f>
        <v>0</v>
      </c>
      <c r="AC7" s="357"/>
      <c r="AD7" s="358">
        <f t="shared" ref="AD7:AD16" si="3">MAX(SUM(Z7:AC7)-AB$17,0)</f>
        <v>0</v>
      </c>
      <c r="AE7" s="361"/>
      <c r="AF7" s="357">
        <f>MAX(K7+T7+W7-AD7,0)</f>
        <v>0</v>
      </c>
      <c r="AG7" s="357"/>
      <c r="AH7" s="362"/>
      <c r="AI7" s="142">
        <f>IF(D7="",0,1)</f>
        <v>0</v>
      </c>
      <c r="AJ7" s="142">
        <f>IF(OR(H7&gt;AJ$2,N7&gt;AJ$4),1,IF(AND(D7&gt;T$3,N7&gt;AJ$3),1,0))</f>
        <v>0</v>
      </c>
    </row>
    <row r="8" spans="2:36" ht="18" customHeight="1">
      <c r="B8" s="345" t="s">
        <v>15</v>
      </c>
      <c r="C8" s="346"/>
      <c r="D8" s="347" t="str">
        <f>IF(入力用!H9="","",入力用!H9)</f>
        <v/>
      </c>
      <c r="E8" s="348"/>
      <c r="F8" s="349">
        <f>入力用!J9</f>
        <v>0</v>
      </c>
      <c r="G8" s="350"/>
      <c r="H8" s="351">
        <f>入力用!L9</f>
        <v>0</v>
      </c>
      <c r="I8" s="351"/>
      <c r="J8" s="351"/>
      <c r="K8" s="351">
        <f>入力用!O9</f>
        <v>0</v>
      </c>
      <c r="L8" s="351"/>
      <c r="M8" s="351"/>
      <c r="N8" s="351">
        <f>入力用!R9</f>
        <v>0</v>
      </c>
      <c r="O8" s="351"/>
      <c r="P8" s="351"/>
      <c r="Q8" s="351">
        <f>入力用!U9</f>
        <v>0</v>
      </c>
      <c r="R8" s="351"/>
      <c r="S8" s="359"/>
      <c r="T8" s="353">
        <f t="shared" si="0"/>
        <v>0</v>
      </c>
      <c r="U8" s="351"/>
      <c r="V8" s="354"/>
      <c r="W8" s="360">
        <f>入力用!X9</f>
        <v>0</v>
      </c>
      <c r="X8" s="351"/>
      <c r="Y8" s="359"/>
      <c r="Z8" s="355">
        <f t="shared" si="1"/>
        <v>0</v>
      </c>
      <c r="AA8" s="356"/>
      <c r="AB8" s="358">
        <f t="shared" si="2"/>
        <v>0</v>
      </c>
      <c r="AC8" s="358"/>
      <c r="AD8" s="358">
        <f t="shared" si="3"/>
        <v>0</v>
      </c>
      <c r="AE8" s="361"/>
      <c r="AF8" s="357">
        <f t="shared" ref="AF8:AF15" si="4">MAX(K8+T8+W8-AD8,0)</f>
        <v>0</v>
      </c>
      <c r="AG8" s="357"/>
      <c r="AH8" s="362"/>
      <c r="AI8" s="142">
        <f t="shared" ref="AI8:AI16" si="5">IF(D8="",0,1)</f>
        <v>0</v>
      </c>
      <c r="AJ8" s="142">
        <f t="shared" ref="AJ8:AJ15" si="6">IF(OR(H8&gt;AJ$2,N8&gt;AJ$4),1,IF(AND(D8&gt;T$3,N8&gt;AJ$3),1,0))</f>
        <v>0</v>
      </c>
    </row>
    <row r="9" spans="2:36" ht="18" customHeight="1">
      <c r="B9" s="345" t="s">
        <v>21</v>
      </c>
      <c r="C9" s="346"/>
      <c r="D9" s="347" t="str">
        <f>IF(入力用!H10="","",入力用!H10)</f>
        <v/>
      </c>
      <c r="E9" s="348"/>
      <c r="F9" s="349">
        <f>入力用!J10</f>
        <v>0</v>
      </c>
      <c r="G9" s="350"/>
      <c r="H9" s="351">
        <f>入力用!L10</f>
        <v>0</v>
      </c>
      <c r="I9" s="351"/>
      <c r="J9" s="351"/>
      <c r="K9" s="351">
        <f>入力用!O10</f>
        <v>0</v>
      </c>
      <c r="L9" s="351"/>
      <c r="M9" s="351"/>
      <c r="N9" s="351">
        <f>入力用!R10</f>
        <v>0</v>
      </c>
      <c r="O9" s="351"/>
      <c r="P9" s="351"/>
      <c r="Q9" s="351">
        <f>入力用!U10</f>
        <v>0</v>
      </c>
      <c r="R9" s="351"/>
      <c r="S9" s="359"/>
      <c r="T9" s="353">
        <f t="shared" si="0"/>
        <v>0</v>
      </c>
      <c r="U9" s="351"/>
      <c r="V9" s="354"/>
      <c r="W9" s="360">
        <f>入力用!X10</f>
        <v>0</v>
      </c>
      <c r="X9" s="351"/>
      <c r="Y9" s="359"/>
      <c r="Z9" s="355">
        <f t="shared" si="1"/>
        <v>0</v>
      </c>
      <c r="AA9" s="356"/>
      <c r="AB9" s="358">
        <f t="shared" si="2"/>
        <v>0</v>
      </c>
      <c r="AC9" s="358"/>
      <c r="AD9" s="358">
        <f t="shared" si="3"/>
        <v>0</v>
      </c>
      <c r="AE9" s="361"/>
      <c r="AF9" s="357">
        <f t="shared" si="4"/>
        <v>0</v>
      </c>
      <c r="AG9" s="357"/>
      <c r="AH9" s="362"/>
      <c r="AI9" s="142">
        <f t="shared" si="5"/>
        <v>0</v>
      </c>
      <c r="AJ9" s="142">
        <f t="shared" si="6"/>
        <v>0</v>
      </c>
    </row>
    <row r="10" spans="2:36" ht="18" customHeight="1">
      <c r="B10" s="345" t="s">
        <v>22</v>
      </c>
      <c r="C10" s="346"/>
      <c r="D10" s="347" t="str">
        <f>IF(入力用!H11="","",入力用!H11)</f>
        <v/>
      </c>
      <c r="E10" s="348"/>
      <c r="F10" s="349">
        <f>入力用!J11</f>
        <v>0</v>
      </c>
      <c r="G10" s="350"/>
      <c r="H10" s="351">
        <f>入力用!L11</f>
        <v>0</v>
      </c>
      <c r="I10" s="351"/>
      <c r="J10" s="351"/>
      <c r="K10" s="351">
        <f>入力用!O11</f>
        <v>0</v>
      </c>
      <c r="L10" s="351"/>
      <c r="M10" s="351"/>
      <c r="N10" s="351">
        <f>入力用!R11</f>
        <v>0</v>
      </c>
      <c r="O10" s="351"/>
      <c r="P10" s="351"/>
      <c r="Q10" s="351">
        <f>入力用!U11</f>
        <v>0</v>
      </c>
      <c r="R10" s="351"/>
      <c r="S10" s="359"/>
      <c r="T10" s="353">
        <f t="shared" si="0"/>
        <v>0</v>
      </c>
      <c r="U10" s="351"/>
      <c r="V10" s="354"/>
      <c r="W10" s="360">
        <f>入力用!X11</f>
        <v>0</v>
      </c>
      <c r="X10" s="351"/>
      <c r="Y10" s="359"/>
      <c r="Z10" s="355">
        <f t="shared" si="1"/>
        <v>0</v>
      </c>
      <c r="AA10" s="356"/>
      <c r="AB10" s="358">
        <f t="shared" si="2"/>
        <v>0</v>
      </c>
      <c r="AC10" s="358"/>
      <c r="AD10" s="358">
        <f t="shared" si="3"/>
        <v>0</v>
      </c>
      <c r="AE10" s="361"/>
      <c r="AF10" s="357">
        <f t="shared" si="4"/>
        <v>0</v>
      </c>
      <c r="AG10" s="357"/>
      <c r="AH10" s="362"/>
      <c r="AI10" s="142">
        <f t="shared" si="5"/>
        <v>0</v>
      </c>
      <c r="AJ10" s="142">
        <f t="shared" si="6"/>
        <v>0</v>
      </c>
    </row>
    <row r="11" spans="2:36" ht="18" customHeight="1">
      <c r="B11" s="345" t="s">
        <v>23</v>
      </c>
      <c r="C11" s="346"/>
      <c r="D11" s="347" t="str">
        <f>IF(入力用!H12="","",入力用!H12)</f>
        <v/>
      </c>
      <c r="E11" s="348"/>
      <c r="F11" s="349">
        <f>入力用!J12</f>
        <v>0</v>
      </c>
      <c r="G11" s="350"/>
      <c r="H11" s="351">
        <f>入力用!L12</f>
        <v>0</v>
      </c>
      <c r="I11" s="351"/>
      <c r="J11" s="351"/>
      <c r="K11" s="351">
        <f>入力用!O12</f>
        <v>0</v>
      </c>
      <c r="L11" s="351"/>
      <c r="M11" s="351"/>
      <c r="N11" s="351">
        <f>入力用!R12</f>
        <v>0</v>
      </c>
      <c r="O11" s="351"/>
      <c r="P11" s="351"/>
      <c r="Q11" s="351">
        <f>入力用!U12</f>
        <v>0</v>
      </c>
      <c r="R11" s="351"/>
      <c r="S11" s="359"/>
      <c r="T11" s="353">
        <f t="shared" si="0"/>
        <v>0</v>
      </c>
      <c r="U11" s="351"/>
      <c r="V11" s="354"/>
      <c r="W11" s="360">
        <f>入力用!X12</f>
        <v>0</v>
      </c>
      <c r="X11" s="351"/>
      <c r="Y11" s="359"/>
      <c r="Z11" s="355">
        <f t="shared" si="1"/>
        <v>0</v>
      </c>
      <c r="AA11" s="356"/>
      <c r="AB11" s="358">
        <f t="shared" si="2"/>
        <v>0</v>
      </c>
      <c r="AC11" s="358"/>
      <c r="AD11" s="358">
        <f t="shared" si="3"/>
        <v>0</v>
      </c>
      <c r="AE11" s="361"/>
      <c r="AF11" s="357">
        <f t="shared" si="4"/>
        <v>0</v>
      </c>
      <c r="AG11" s="357"/>
      <c r="AH11" s="362"/>
      <c r="AI11" s="142">
        <f t="shared" si="5"/>
        <v>0</v>
      </c>
      <c r="AJ11" s="142">
        <f t="shared" si="6"/>
        <v>0</v>
      </c>
    </row>
    <row r="12" spans="2:36" ht="18" customHeight="1">
      <c r="B12" s="345" t="s">
        <v>69</v>
      </c>
      <c r="C12" s="346"/>
      <c r="D12" s="347" t="str">
        <f>IF(入力用!H13="","",入力用!H13)</f>
        <v/>
      </c>
      <c r="E12" s="348"/>
      <c r="F12" s="349">
        <f>入力用!J13</f>
        <v>0</v>
      </c>
      <c r="G12" s="350"/>
      <c r="H12" s="351">
        <f>入力用!L13</f>
        <v>0</v>
      </c>
      <c r="I12" s="351"/>
      <c r="J12" s="351"/>
      <c r="K12" s="351">
        <f>入力用!O13</f>
        <v>0</v>
      </c>
      <c r="L12" s="351"/>
      <c r="M12" s="351"/>
      <c r="N12" s="351">
        <f>入力用!R13</f>
        <v>0</v>
      </c>
      <c r="O12" s="351"/>
      <c r="P12" s="351"/>
      <c r="Q12" s="351">
        <f>入力用!U13</f>
        <v>0</v>
      </c>
      <c r="R12" s="351"/>
      <c r="S12" s="359"/>
      <c r="T12" s="353">
        <f t="shared" si="0"/>
        <v>0</v>
      </c>
      <c r="U12" s="351"/>
      <c r="V12" s="354"/>
      <c r="W12" s="360">
        <f>入力用!X13</f>
        <v>0</v>
      </c>
      <c r="X12" s="351"/>
      <c r="Y12" s="359"/>
      <c r="Z12" s="355">
        <f t="shared" si="1"/>
        <v>0</v>
      </c>
      <c r="AA12" s="356"/>
      <c r="AB12" s="358">
        <f t="shared" si="2"/>
        <v>0</v>
      </c>
      <c r="AC12" s="358"/>
      <c r="AD12" s="358">
        <f t="shared" si="3"/>
        <v>0</v>
      </c>
      <c r="AE12" s="361"/>
      <c r="AF12" s="357">
        <f t="shared" si="4"/>
        <v>0</v>
      </c>
      <c r="AG12" s="357"/>
      <c r="AH12" s="362"/>
      <c r="AI12" s="142">
        <f t="shared" si="5"/>
        <v>0</v>
      </c>
      <c r="AJ12" s="142">
        <f t="shared" si="6"/>
        <v>0</v>
      </c>
    </row>
    <row r="13" spans="2:36" ht="18" customHeight="1">
      <c r="B13" s="345" t="s">
        <v>70</v>
      </c>
      <c r="C13" s="346"/>
      <c r="D13" s="347" t="str">
        <f>IF(入力用!H14="","",入力用!H14)</f>
        <v/>
      </c>
      <c r="E13" s="348"/>
      <c r="F13" s="349">
        <f>入力用!J14</f>
        <v>0</v>
      </c>
      <c r="G13" s="350"/>
      <c r="H13" s="351">
        <f>入力用!L14</f>
        <v>0</v>
      </c>
      <c r="I13" s="351"/>
      <c r="J13" s="351"/>
      <c r="K13" s="351">
        <f>入力用!O14</f>
        <v>0</v>
      </c>
      <c r="L13" s="351"/>
      <c r="M13" s="351"/>
      <c r="N13" s="351">
        <f>入力用!R14</f>
        <v>0</v>
      </c>
      <c r="O13" s="351"/>
      <c r="P13" s="351"/>
      <c r="Q13" s="351">
        <f>入力用!U14</f>
        <v>0</v>
      </c>
      <c r="R13" s="351"/>
      <c r="S13" s="359"/>
      <c r="T13" s="353">
        <f t="shared" si="0"/>
        <v>0</v>
      </c>
      <c r="U13" s="351"/>
      <c r="V13" s="354"/>
      <c r="W13" s="360">
        <f>入力用!X14</f>
        <v>0</v>
      </c>
      <c r="X13" s="351"/>
      <c r="Y13" s="359"/>
      <c r="Z13" s="355">
        <f t="shared" si="1"/>
        <v>0</v>
      </c>
      <c r="AA13" s="356"/>
      <c r="AB13" s="358">
        <f t="shared" si="2"/>
        <v>0</v>
      </c>
      <c r="AC13" s="358"/>
      <c r="AD13" s="358">
        <f t="shared" si="3"/>
        <v>0</v>
      </c>
      <c r="AE13" s="361"/>
      <c r="AF13" s="357">
        <f t="shared" si="4"/>
        <v>0</v>
      </c>
      <c r="AG13" s="357"/>
      <c r="AH13" s="362"/>
      <c r="AI13" s="142">
        <f t="shared" si="5"/>
        <v>0</v>
      </c>
      <c r="AJ13" s="142">
        <f t="shared" si="6"/>
        <v>0</v>
      </c>
    </row>
    <row r="14" spans="2:36" ht="18" customHeight="1">
      <c r="B14" s="345" t="s">
        <v>71</v>
      </c>
      <c r="C14" s="346"/>
      <c r="D14" s="347" t="str">
        <f>IF(入力用!H15="","",入力用!H15)</f>
        <v/>
      </c>
      <c r="E14" s="348"/>
      <c r="F14" s="349">
        <f>入力用!J15</f>
        <v>0</v>
      </c>
      <c r="G14" s="350"/>
      <c r="H14" s="351">
        <f>入力用!L15</f>
        <v>0</v>
      </c>
      <c r="I14" s="351"/>
      <c r="J14" s="351"/>
      <c r="K14" s="351">
        <f>入力用!O15</f>
        <v>0</v>
      </c>
      <c r="L14" s="351"/>
      <c r="M14" s="351"/>
      <c r="N14" s="351">
        <f>入力用!R15</f>
        <v>0</v>
      </c>
      <c r="O14" s="351"/>
      <c r="P14" s="351"/>
      <c r="Q14" s="351">
        <f>入力用!U15</f>
        <v>0</v>
      </c>
      <c r="R14" s="351"/>
      <c r="S14" s="359"/>
      <c r="T14" s="353">
        <f t="shared" si="0"/>
        <v>0</v>
      </c>
      <c r="U14" s="351"/>
      <c r="V14" s="354"/>
      <c r="W14" s="360">
        <f>入力用!X15</f>
        <v>0</v>
      </c>
      <c r="X14" s="351"/>
      <c r="Y14" s="359"/>
      <c r="Z14" s="355">
        <f t="shared" si="1"/>
        <v>0</v>
      </c>
      <c r="AA14" s="356"/>
      <c r="AB14" s="358">
        <f t="shared" si="2"/>
        <v>0</v>
      </c>
      <c r="AC14" s="358"/>
      <c r="AD14" s="358">
        <f t="shared" si="3"/>
        <v>0</v>
      </c>
      <c r="AE14" s="361"/>
      <c r="AF14" s="357">
        <f t="shared" si="4"/>
        <v>0</v>
      </c>
      <c r="AG14" s="357"/>
      <c r="AH14" s="362"/>
      <c r="AI14" s="142">
        <f t="shared" si="5"/>
        <v>0</v>
      </c>
      <c r="AJ14" s="142">
        <f t="shared" si="6"/>
        <v>0</v>
      </c>
    </row>
    <row r="15" spans="2:36" ht="18" customHeight="1">
      <c r="B15" s="345" t="s">
        <v>72</v>
      </c>
      <c r="C15" s="346"/>
      <c r="D15" s="347" t="str">
        <f>IF(入力用!H16="","",入力用!H16)</f>
        <v/>
      </c>
      <c r="E15" s="348"/>
      <c r="F15" s="349">
        <f>入力用!J16</f>
        <v>0</v>
      </c>
      <c r="G15" s="350"/>
      <c r="H15" s="351">
        <f>入力用!L16</f>
        <v>0</v>
      </c>
      <c r="I15" s="351"/>
      <c r="J15" s="351"/>
      <c r="K15" s="351">
        <f>入力用!O16</f>
        <v>0</v>
      </c>
      <c r="L15" s="351"/>
      <c r="M15" s="351"/>
      <c r="N15" s="351">
        <f>入力用!R16</f>
        <v>0</v>
      </c>
      <c r="O15" s="351"/>
      <c r="P15" s="351"/>
      <c r="Q15" s="351">
        <f>入力用!U16</f>
        <v>0</v>
      </c>
      <c r="R15" s="351"/>
      <c r="S15" s="359"/>
      <c r="T15" s="353">
        <f t="shared" si="0"/>
        <v>0</v>
      </c>
      <c r="U15" s="351"/>
      <c r="V15" s="354"/>
      <c r="W15" s="360">
        <f>入力用!X16</f>
        <v>0</v>
      </c>
      <c r="X15" s="351"/>
      <c r="Y15" s="359"/>
      <c r="Z15" s="355">
        <f t="shared" si="1"/>
        <v>0</v>
      </c>
      <c r="AA15" s="356"/>
      <c r="AB15" s="358">
        <f t="shared" si="2"/>
        <v>0</v>
      </c>
      <c r="AC15" s="358"/>
      <c r="AD15" s="358">
        <f t="shared" si="3"/>
        <v>0</v>
      </c>
      <c r="AE15" s="361"/>
      <c r="AF15" s="357">
        <f t="shared" si="4"/>
        <v>0</v>
      </c>
      <c r="AG15" s="357"/>
      <c r="AH15" s="362"/>
      <c r="AI15" s="142">
        <f t="shared" si="5"/>
        <v>0</v>
      </c>
      <c r="AJ15" s="142">
        <f t="shared" si="6"/>
        <v>0</v>
      </c>
    </row>
    <row r="16" spans="2:36" ht="18" customHeight="1">
      <c r="B16" s="345" t="s">
        <v>73</v>
      </c>
      <c r="C16" s="346"/>
      <c r="D16" s="347" t="str">
        <f>IF(入力用!H17="","",入力用!H17)</f>
        <v/>
      </c>
      <c r="E16" s="348"/>
      <c r="F16" s="349">
        <f>入力用!J17</f>
        <v>0</v>
      </c>
      <c r="G16" s="350"/>
      <c r="H16" s="351">
        <f>入力用!L17</f>
        <v>0</v>
      </c>
      <c r="I16" s="351"/>
      <c r="J16" s="351"/>
      <c r="K16" s="351">
        <f>入力用!O17</f>
        <v>0</v>
      </c>
      <c r="L16" s="351"/>
      <c r="M16" s="351"/>
      <c r="N16" s="351">
        <f>入力用!R17</f>
        <v>0</v>
      </c>
      <c r="O16" s="351"/>
      <c r="P16" s="351"/>
      <c r="Q16" s="351">
        <f>入力用!U17</f>
        <v>0</v>
      </c>
      <c r="R16" s="351"/>
      <c r="S16" s="359"/>
      <c r="T16" s="353">
        <f t="shared" si="0"/>
        <v>0</v>
      </c>
      <c r="U16" s="351"/>
      <c r="V16" s="354"/>
      <c r="W16" s="360">
        <f>入力用!X17</f>
        <v>0</v>
      </c>
      <c r="X16" s="351"/>
      <c r="Y16" s="359"/>
      <c r="Z16" s="355">
        <f t="shared" si="1"/>
        <v>0</v>
      </c>
      <c r="AA16" s="356"/>
      <c r="AB16" s="358">
        <f t="shared" si="2"/>
        <v>0</v>
      </c>
      <c r="AC16" s="358"/>
      <c r="AD16" s="358">
        <f t="shared" si="3"/>
        <v>0</v>
      </c>
      <c r="AE16" s="361"/>
      <c r="AF16" s="373">
        <f>MAX(K16+T16+W16-AD16,0)</f>
        <v>0</v>
      </c>
      <c r="AG16" s="373"/>
      <c r="AH16" s="374"/>
      <c r="AI16" s="142">
        <f t="shared" si="5"/>
        <v>0</v>
      </c>
      <c r="AJ16" s="142">
        <f>IF(OR(H16&gt;AJ$2,N16&gt;AJ$4),1,IF(AND(D16&gt;T$3,N16&gt;AJ$3),1,0))</f>
        <v>0</v>
      </c>
    </row>
    <row r="17" spans="2:36" ht="17.25" customHeight="1">
      <c r="Z17" s="150" t="s">
        <v>152</v>
      </c>
      <c r="AA17" s="150"/>
      <c r="AB17" s="378">
        <v>100000</v>
      </c>
      <c r="AC17" s="378"/>
      <c r="AD17" s="157" t="s">
        <v>151</v>
      </c>
      <c r="AF17" s="171"/>
      <c r="AG17" s="171"/>
      <c r="AH17" s="172"/>
      <c r="AI17" s="146">
        <f>SUM(AI7:AI16)</f>
        <v>0</v>
      </c>
      <c r="AJ17" s="142">
        <f>SUM(AJ7:AJ16)</f>
        <v>0</v>
      </c>
    </row>
    <row r="18" spans="2:36" ht="17.25" customHeight="1">
      <c r="AI18" s="168" t="s">
        <v>173</v>
      </c>
      <c r="AJ18" s="168" t="s">
        <v>175</v>
      </c>
    </row>
    <row r="19" spans="2:36" ht="17.25" customHeight="1"/>
    <row r="20" spans="2:36" ht="17.25" customHeight="1"/>
    <row r="21" spans="2:36" ht="17.25" customHeight="1"/>
    <row r="22" spans="2:36" ht="17.25" customHeight="1">
      <c r="B22" s="145" t="s">
        <v>183</v>
      </c>
    </row>
    <row r="23" spans="2:36" ht="27" customHeight="1" thickBot="1">
      <c r="B23" s="304" t="s">
        <v>155</v>
      </c>
      <c r="C23" s="304"/>
      <c r="D23" s="316" t="s">
        <v>171</v>
      </c>
      <c r="E23" s="316"/>
      <c r="F23" s="316"/>
      <c r="G23" s="316"/>
      <c r="H23" s="316"/>
      <c r="I23" s="316"/>
      <c r="J23" s="316"/>
      <c r="K23" s="316"/>
      <c r="L23" s="316"/>
      <c r="M23" s="316"/>
      <c r="N23" s="316"/>
      <c r="O23" s="316"/>
      <c r="P23" s="316"/>
      <c r="Q23" s="316"/>
      <c r="R23" s="316"/>
      <c r="S23" s="314" t="s">
        <v>154</v>
      </c>
      <c r="T23" s="314"/>
      <c r="U23" s="315"/>
      <c r="V23" s="147" t="s">
        <v>180</v>
      </c>
      <c r="W23" s="364" t="s">
        <v>158</v>
      </c>
      <c r="X23" s="365"/>
      <c r="Y23" s="366"/>
      <c r="AA23" s="367" t="s">
        <v>181</v>
      </c>
      <c r="AB23" s="368"/>
      <c r="AC23" s="369"/>
    </row>
    <row r="24" spans="2:36" ht="17.25" customHeight="1" thickBot="1">
      <c r="B24" s="317" t="s">
        <v>93</v>
      </c>
      <c r="C24" s="318"/>
      <c r="D24" s="303">
        <v>430000</v>
      </c>
      <c r="E24" s="302"/>
      <c r="F24" s="158"/>
      <c r="G24" s="158"/>
      <c r="H24" s="158"/>
      <c r="I24" s="158"/>
      <c r="J24" s="158"/>
      <c r="K24" s="159" t="s">
        <v>164</v>
      </c>
      <c r="L24" s="302">
        <v>100000</v>
      </c>
      <c r="M24" s="302"/>
      <c r="N24" s="160" t="s">
        <v>167</v>
      </c>
      <c r="O24" s="161" t="s">
        <v>168</v>
      </c>
      <c r="P24" s="162" t="s">
        <v>169</v>
      </c>
      <c r="Q24" s="163">
        <v>1</v>
      </c>
      <c r="R24" s="158" t="s">
        <v>170</v>
      </c>
      <c r="S24" s="305">
        <f>D24+L24*MAX(AJ17-1,0)</f>
        <v>430000</v>
      </c>
      <c r="T24" s="306"/>
      <c r="U24" s="307"/>
      <c r="V24" s="164" t="str">
        <f>IF(W$25&gt;S24,"&lt;","&gt;")</f>
        <v>&gt;</v>
      </c>
      <c r="W24" s="173"/>
      <c r="X24" s="174"/>
      <c r="Y24" s="175"/>
      <c r="AA24" s="370" t="str">
        <f>IF(W25&gt;S26,B27,IF(W25&gt;S25,B26,IF(W25&gt;S24,B25,B24)))</f>
        <v>７割軽減</v>
      </c>
      <c r="AB24" s="371"/>
      <c r="AC24" s="372"/>
    </row>
    <row r="25" spans="2:36" ht="16.5" customHeight="1">
      <c r="B25" s="317" t="s">
        <v>94</v>
      </c>
      <c r="C25" s="318"/>
      <c r="D25" s="303">
        <v>430000</v>
      </c>
      <c r="E25" s="302"/>
      <c r="F25" s="160" t="s">
        <v>164</v>
      </c>
      <c r="G25" s="302">
        <v>305000</v>
      </c>
      <c r="H25" s="302"/>
      <c r="I25" s="160" t="s">
        <v>165</v>
      </c>
      <c r="J25" s="161" t="s">
        <v>166</v>
      </c>
      <c r="K25" s="159" t="s">
        <v>164</v>
      </c>
      <c r="L25" s="302">
        <v>100000</v>
      </c>
      <c r="M25" s="302"/>
      <c r="N25" s="160" t="s">
        <v>167</v>
      </c>
      <c r="O25" s="161" t="s">
        <v>168</v>
      </c>
      <c r="P25" s="162" t="s">
        <v>169</v>
      </c>
      <c r="Q25" s="163">
        <v>1</v>
      </c>
      <c r="R25" s="158" t="s">
        <v>170</v>
      </c>
      <c r="S25" s="308">
        <f>D25+G25*AI$17+L25*MAX(AJ$17-1,0)</f>
        <v>430000</v>
      </c>
      <c r="T25" s="309"/>
      <c r="U25" s="310"/>
      <c r="V25" s="165" t="str">
        <f>IF(W$25&gt;S25,"&lt;","&gt;")</f>
        <v>&gt;</v>
      </c>
      <c r="W25" s="375">
        <f>SUM(AF7:AH16)</f>
        <v>0</v>
      </c>
      <c r="X25" s="376"/>
      <c r="Y25" s="377"/>
    </row>
    <row r="26" spans="2:36" ht="16.5" customHeight="1" thickBot="1">
      <c r="B26" s="317" t="s">
        <v>92</v>
      </c>
      <c r="C26" s="318"/>
      <c r="D26" s="303">
        <v>430000</v>
      </c>
      <c r="E26" s="302"/>
      <c r="F26" s="160" t="s">
        <v>164</v>
      </c>
      <c r="G26" s="302">
        <v>560000</v>
      </c>
      <c r="H26" s="302"/>
      <c r="I26" s="160" t="s">
        <v>165</v>
      </c>
      <c r="J26" s="161" t="s">
        <v>166</v>
      </c>
      <c r="K26" s="159" t="s">
        <v>164</v>
      </c>
      <c r="L26" s="302">
        <v>100000</v>
      </c>
      <c r="M26" s="302"/>
      <c r="N26" s="160" t="s">
        <v>167</v>
      </c>
      <c r="O26" s="161" t="s">
        <v>168</v>
      </c>
      <c r="P26" s="162" t="s">
        <v>169</v>
      </c>
      <c r="Q26" s="163">
        <v>1</v>
      </c>
      <c r="R26" s="158" t="s">
        <v>170</v>
      </c>
      <c r="S26" s="311">
        <f>D26+G26*AI$17+L26*MAX(AJ$17-1,0)</f>
        <v>430000</v>
      </c>
      <c r="T26" s="312"/>
      <c r="U26" s="313"/>
      <c r="V26" s="166" t="str">
        <f>IF(W$25&gt;S26,"&lt;","&gt;")</f>
        <v>&gt;</v>
      </c>
      <c r="W26" s="176"/>
      <c r="X26" s="177"/>
      <c r="Y26" s="178"/>
    </row>
    <row r="27" spans="2:36" ht="16.5" customHeight="1">
      <c r="B27" s="317" t="s">
        <v>182</v>
      </c>
      <c r="C27" s="363"/>
    </row>
    <row r="28" spans="2:36" ht="16.5" customHeight="1"/>
    <row r="35" spans="2:2">
      <c r="B35" s="167"/>
    </row>
    <row r="36" spans="2:2">
      <c r="B36" s="167"/>
    </row>
    <row r="37" spans="2:2">
      <c r="B37" s="167"/>
    </row>
    <row r="38" spans="2:2">
      <c r="B38" s="167"/>
    </row>
    <row r="40" spans="2:2">
      <c r="B40" s="167"/>
    </row>
  </sheetData>
  <sheetProtection password="C65F" sheet="1" objects="1" scenarios="1" selectLockedCells="1" selectUnlockedCells="1"/>
  <mergeCells count="177">
    <mergeCell ref="AF15:AH15"/>
    <mergeCell ref="N15:P15"/>
    <mergeCell ref="T15:V15"/>
    <mergeCell ref="T16:V16"/>
    <mergeCell ref="Z15:AA15"/>
    <mergeCell ref="Z16:AA16"/>
    <mergeCell ref="AB15:AC15"/>
    <mergeCell ref="AB16:AC16"/>
    <mergeCell ref="B27:C27"/>
    <mergeCell ref="W23:Y23"/>
    <mergeCell ref="AA23:AC23"/>
    <mergeCell ref="AA24:AC24"/>
    <mergeCell ref="N16:P16"/>
    <mergeCell ref="Q16:S16"/>
    <mergeCell ref="W16:Y16"/>
    <mergeCell ref="AD16:AE16"/>
    <mergeCell ref="AF16:AH16"/>
    <mergeCell ref="B16:C16"/>
    <mergeCell ref="D16:E16"/>
    <mergeCell ref="F16:G16"/>
    <mergeCell ref="H16:J16"/>
    <mergeCell ref="K16:M16"/>
    <mergeCell ref="W25:Y25"/>
    <mergeCell ref="AB17:AC17"/>
    <mergeCell ref="B15:C15"/>
    <mergeCell ref="D15:E15"/>
    <mergeCell ref="F15:G15"/>
    <mergeCell ref="H15:J15"/>
    <mergeCell ref="K15:M15"/>
    <mergeCell ref="N14:P14"/>
    <mergeCell ref="Q14:S14"/>
    <mergeCell ref="W14:Y14"/>
    <mergeCell ref="AD14:AE14"/>
    <mergeCell ref="B14:C14"/>
    <mergeCell ref="D14:E14"/>
    <mergeCell ref="F14:G14"/>
    <mergeCell ref="H14:J14"/>
    <mergeCell ref="K14:M14"/>
    <mergeCell ref="Q15:S15"/>
    <mergeCell ref="W15:Y15"/>
    <mergeCell ref="AD15:AE15"/>
    <mergeCell ref="AF14:AH14"/>
    <mergeCell ref="Q13:S13"/>
    <mergeCell ref="W13:Y13"/>
    <mergeCell ref="AD13:AE13"/>
    <mergeCell ref="AF13:AH13"/>
    <mergeCell ref="N13:P13"/>
    <mergeCell ref="T13:V13"/>
    <mergeCell ref="T14:V14"/>
    <mergeCell ref="Z13:AA13"/>
    <mergeCell ref="Z14:AA14"/>
    <mergeCell ref="AB13:AC13"/>
    <mergeCell ref="AB14:AC14"/>
    <mergeCell ref="B13:C13"/>
    <mergeCell ref="D13:E13"/>
    <mergeCell ref="F13:G13"/>
    <mergeCell ref="H13:J13"/>
    <mergeCell ref="K13:M13"/>
    <mergeCell ref="AD12:AE12"/>
    <mergeCell ref="AF12:AH12"/>
    <mergeCell ref="Q11:S11"/>
    <mergeCell ref="W11:Y11"/>
    <mergeCell ref="AD11:AE11"/>
    <mergeCell ref="AF11:AH11"/>
    <mergeCell ref="N11:P11"/>
    <mergeCell ref="T11:V11"/>
    <mergeCell ref="T12:V12"/>
    <mergeCell ref="Z11:AA11"/>
    <mergeCell ref="Z12:AA12"/>
    <mergeCell ref="AB11:AC11"/>
    <mergeCell ref="AB12:AC12"/>
    <mergeCell ref="N9:P9"/>
    <mergeCell ref="T9:V9"/>
    <mergeCell ref="T10:V10"/>
    <mergeCell ref="Z9:AA9"/>
    <mergeCell ref="Z10:AA10"/>
    <mergeCell ref="AB9:AC9"/>
    <mergeCell ref="AB10:AC10"/>
    <mergeCell ref="B12:C12"/>
    <mergeCell ref="D12:E12"/>
    <mergeCell ref="F12:G12"/>
    <mergeCell ref="H12:J12"/>
    <mergeCell ref="K12:M12"/>
    <mergeCell ref="B11:C11"/>
    <mergeCell ref="D11:E11"/>
    <mergeCell ref="F11:G11"/>
    <mergeCell ref="H11:J11"/>
    <mergeCell ref="K11:M11"/>
    <mergeCell ref="N12:P12"/>
    <mergeCell ref="Q12:S12"/>
    <mergeCell ref="W12:Y12"/>
    <mergeCell ref="AF8:AH8"/>
    <mergeCell ref="Q7:S7"/>
    <mergeCell ref="W7:Y7"/>
    <mergeCell ref="AD7:AE7"/>
    <mergeCell ref="AF7:AH7"/>
    <mergeCell ref="B10:C10"/>
    <mergeCell ref="D10:E10"/>
    <mergeCell ref="F10:G10"/>
    <mergeCell ref="H10:J10"/>
    <mergeCell ref="K10:M10"/>
    <mergeCell ref="B9:C9"/>
    <mergeCell ref="D9:E9"/>
    <mergeCell ref="F9:G9"/>
    <mergeCell ref="H9:J9"/>
    <mergeCell ref="K9:M9"/>
    <mergeCell ref="N10:P10"/>
    <mergeCell ref="Q10:S10"/>
    <mergeCell ref="W10:Y10"/>
    <mergeCell ref="AD10:AE10"/>
    <mergeCell ref="AF10:AH10"/>
    <mergeCell ref="Q9:S9"/>
    <mergeCell ref="W9:Y9"/>
    <mergeCell ref="AD9:AE9"/>
    <mergeCell ref="AF9:AH9"/>
    <mergeCell ref="B8:C8"/>
    <mergeCell ref="D8:E8"/>
    <mergeCell ref="F8:G8"/>
    <mergeCell ref="H8:J8"/>
    <mergeCell ref="K8:M8"/>
    <mergeCell ref="W6:Y6"/>
    <mergeCell ref="AD6:AE6"/>
    <mergeCell ref="AF6:AH6"/>
    <mergeCell ref="B7:C7"/>
    <mergeCell ref="D7:E7"/>
    <mergeCell ref="F7:G7"/>
    <mergeCell ref="H7:J7"/>
    <mergeCell ref="K7:M7"/>
    <mergeCell ref="N7:P7"/>
    <mergeCell ref="T7:V7"/>
    <mergeCell ref="T8:V8"/>
    <mergeCell ref="Z7:AA7"/>
    <mergeCell ref="Z8:AA8"/>
    <mergeCell ref="AB7:AC7"/>
    <mergeCell ref="AB8:AC8"/>
    <mergeCell ref="N8:P8"/>
    <mergeCell ref="Q8:S8"/>
    <mergeCell ref="W8:Y8"/>
    <mergeCell ref="AD8:AE8"/>
    <mergeCell ref="AG2:AI2"/>
    <mergeCell ref="AG3:AI3"/>
    <mergeCell ref="AG4:AI4"/>
    <mergeCell ref="B6:C6"/>
    <mergeCell ref="D6:E6"/>
    <mergeCell ref="F6:G6"/>
    <mergeCell ref="H6:J6"/>
    <mergeCell ref="K6:M6"/>
    <mergeCell ref="N6:P6"/>
    <mergeCell ref="Q6:S6"/>
    <mergeCell ref="B4:F5"/>
    <mergeCell ref="D3:E3"/>
    <mergeCell ref="B3:C3"/>
    <mergeCell ref="T6:V6"/>
    <mergeCell ref="T4:V4"/>
    <mergeCell ref="T3:V3"/>
    <mergeCell ref="N3:S3"/>
    <mergeCell ref="N4:S4"/>
    <mergeCell ref="Z6:AA6"/>
    <mergeCell ref="AB6:AC6"/>
    <mergeCell ref="Z4:AE4"/>
    <mergeCell ref="L25:M25"/>
    <mergeCell ref="D24:E24"/>
    <mergeCell ref="L24:M24"/>
    <mergeCell ref="B23:C23"/>
    <mergeCell ref="S24:U24"/>
    <mergeCell ref="S25:U25"/>
    <mergeCell ref="S26:U26"/>
    <mergeCell ref="S23:U23"/>
    <mergeCell ref="D23:R23"/>
    <mergeCell ref="B24:C24"/>
    <mergeCell ref="B25:C25"/>
    <mergeCell ref="B26:C26"/>
    <mergeCell ref="D26:E26"/>
    <mergeCell ref="G26:H26"/>
    <mergeCell ref="L26:M26"/>
    <mergeCell ref="D25:E25"/>
    <mergeCell ref="G25:H25"/>
  </mergeCells>
  <phoneticPr fontId="1"/>
  <printOptions horizontalCentered="1" verticalCentered="1"/>
  <pageMargins left="0.39370078740157483" right="0.39370078740157483" top="0.27559055118110237" bottom="0.27559055118110237" header="0.11811023622047245" footer="0.11811023622047245"/>
  <pageSetup paperSize="9" scale="7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入力用</vt:lpstr>
      <vt:lpstr>税額計算</vt:lpstr>
      <vt:lpstr>振分期別表</vt:lpstr>
      <vt:lpstr>給与所得計算</vt:lpstr>
      <vt:lpstr>年金所得計算</vt:lpstr>
      <vt:lpstr>基礎控除計算</vt:lpstr>
      <vt:lpstr>軽減判定</vt:lpstr>
      <vt:lpstr>入力用!Print_Area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賦課係　須藤</dc:creator>
  <cp:lastModifiedBy>kp1121072</cp:lastModifiedBy>
  <cp:lastPrinted>2024-11-15T05:45:58Z</cp:lastPrinted>
  <dcterms:created xsi:type="dcterms:W3CDTF">2021-11-11T04:33:08Z</dcterms:created>
  <dcterms:modified xsi:type="dcterms:W3CDTF">2025-03-28T02:32:24Z</dcterms:modified>
</cp:coreProperties>
</file>