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新設フォルダ◎○\04 給水装置係\ﾏ 窓口事務関係\水理計算シート\"/>
    </mc:Choice>
  </mc:AlternateContent>
  <bookViews>
    <workbookView xWindow="-15" yWindow="0" windowWidth="10080" windowHeight="11370" firstSheet="1" activeTab="1"/>
  </bookViews>
  <sheets>
    <sheet name="はじめに" sheetId="16" r:id="rId1"/>
    <sheet name="入力用紙①" sheetId="11" r:id="rId2"/>
    <sheet name="(記入例20㎜OK)" sheetId="14" r:id="rId3"/>
    <sheet name=" (記入例13㎜NG) " sheetId="15" r:id="rId4"/>
    <sheet name="入力用紙② (使用水量入力)" sheetId="18" r:id="rId5"/>
    <sheet name="直管換算表（参考）" sheetId="2" r:id="rId6"/>
    <sheet name="表" sheetId="3" r:id="rId7"/>
    <sheet name="更新履歴" sheetId="17" r:id="rId8"/>
  </sheets>
  <calcPr calcId="162913"/>
</workbook>
</file>

<file path=xl/calcChain.xml><?xml version="1.0" encoding="utf-8"?>
<calcChain xmlns="http://schemas.openxmlformats.org/spreadsheetml/2006/main">
  <c r="B5" i="18" l="1"/>
  <c r="C71" i="18" s="1"/>
  <c r="G7" i="18"/>
  <c r="I32" i="18" s="1"/>
  <c r="G8" i="18"/>
  <c r="I33" i="18" s="1"/>
  <c r="G5" i="18"/>
  <c r="I40" i="18" s="1"/>
  <c r="G6" i="18"/>
  <c r="I22" i="18" s="1"/>
  <c r="D17" i="18"/>
  <c r="F9" i="18"/>
  <c r="G9" i="18" s="1"/>
  <c r="B6" i="18" s="1"/>
  <c r="E13" i="18"/>
  <c r="D13" i="18" s="1"/>
  <c r="D28" i="18"/>
  <c r="H9" i="18"/>
  <c r="H3" i="3"/>
  <c r="H4" i="3"/>
  <c r="F5" i="3"/>
  <c r="I21" i="18" l="1"/>
  <c r="I17" i="18"/>
  <c r="I30" i="18"/>
  <c r="I13" i="18"/>
  <c r="I23" i="18"/>
  <c r="I15" i="18"/>
  <c r="I25" i="18"/>
  <c r="I28" i="18"/>
  <c r="I19" i="18"/>
  <c r="I18" i="18"/>
  <c r="I14" i="18"/>
  <c r="I26" i="18"/>
  <c r="I31" i="18"/>
  <c r="I27" i="18"/>
  <c r="I41" i="18"/>
  <c r="E41" i="18" s="1"/>
  <c r="D41" i="18" s="1"/>
  <c r="I42" i="18"/>
  <c r="E42" i="18" s="1"/>
  <c r="D42" i="18" s="1"/>
  <c r="I43" i="18"/>
  <c r="E43" i="18" s="1"/>
  <c r="D43" i="18" s="1"/>
  <c r="I44" i="18"/>
  <c r="E44" i="18" s="1"/>
  <c r="I45" i="18"/>
  <c r="E45" i="18" s="1"/>
  <c r="D45" i="18" s="1"/>
  <c r="I46" i="18"/>
  <c r="E46" i="18" s="1"/>
  <c r="D46" i="18" s="1"/>
  <c r="I47" i="18"/>
  <c r="E47" i="18" s="1"/>
  <c r="I48" i="18"/>
  <c r="E48" i="18" s="1"/>
  <c r="D48" i="18" s="1"/>
  <c r="I49" i="18"/>
  <c r="E49" i="18" s="1"/>
  <c r="D49" i="18" s="1"/>
  <c r="I50" i="18"/>
  <c r="E50" i="18" s="1"/>
  <c r="D50" i="18" s="1"/>
  <c r="I51" i="18"/>
  <c r="E51" i="18" s="1"/>
  <c r="D51" i="18" s="1"/>
  <c r="I52" i="18"/>
  <c r="E52" i="18" s="1"/>
  <c r="I53" i="18"/>
  <c r="E53" i="18" s="1"/>
  <c r="D53" i="18" s="1"/>
  <c r="I54" i="18"/>
  <c r="E54" i="18" s="1"/>
  <c r="D54" i="18" s="1"/>
  <c r="I55" i="18"/>
  <c r="E55" i="18" s="1"/>
  <c r="I56" i="18"/>
  <c r="E56" i="18" s="1"/>
  <c r="D56" i="18" s="1"/>
  <c r="I57" i="18"/>
  <c r="E57" i="18" s="1"/>
  <c r="D57" i="18" s="1"/>
  <c r="I58" i="18"/>
  <c r="E58" i="18" s="1"/>
  <c r="I59" i="18"/>
  <c r="E59" i="18" s="1"/>
  <c r="D59" i="18" s="1"/>
  <c r="I60" i="18"/>
  <c r="E60" i="18" s="1"/>
  <c r="I61" i="18"/>
  <c r="E61" i="18" s="1"/>
  <c r="D61" i="18" s="1"/>
  <c r="I62" i="18"/>
  <c r="E62" i="18" s="1"/>
  <c r="I63" i="18"/>
  <c r="E63" i="18" s="1"/>
  <c r="I64" i="18"/>
  <c r="E64" i="18" s="1"/>
  <c r="D64" i="18" s="1"/>
  <c r="I65" i="18"/>
  <c r="E65" i="18" s="1"/>
  <c r="D65" i="18" s="1"/>
  <c r="I66" i="18"/>
  <c r="E66" i="18" s="1"/>
  <c r="I67" i="18"/>
  <c r="E67" i="18" s="1"/>
  <c r="D67" i="18" s="1"/>
  <c r="I68" i="18"/>
  <c r="E68" i="18" s="1"/>
  <c r="I69" i="18"/>
  <c r="E69" i="18" s="1"/>
  <c r="D69" i="18" s="1"/>
  <c r="E40" i="18"/>
  <c r="H8" i="18"/>
  <c r="E23" i="18"/>
  <c r="D23" i="18" s="1"/>
  <c r="E14" i="18"/>
  <c r="D14" i="18" s="1"/>
  <c r="H2" i="18"/>
  <c r="H73" i="18"/>
  <c r="H72" i="18"/>
  <c r="H71" i="18"/>
  <c r="B70" i="18"/>
  <c r="H70" i="18" s="1"/>
  <c r="H69" i="18"/>
  <c r="H68" i="18"/>
  <c r="H67" i="18"/>
  <c r="H66" i="18"/>
  <c r="H65" i="18"/>
  <c r="H64" i="18"/>
  <c r="H63" i="18"/>
  <c r="H62" i="18"/>
  <c r="H61" i="18"/>
  <c r="H60" i="18"/>
  <c r="H59" i="18"/>
  <c r="H58" i="18"/>
  <c r="H57" i="18"/>
  <c r="H56" i="18"/>
  <c r="H55" i="18"/>
  <c r="H54" i="18"/>
  <c r="H53" i="18"/>
  <c r="H52" i="18"/>
  <c r="H51" i="18"/>
  <c r="H50" i="18"/>
  <c r="H49" i="18"/>
  <c r="H48" i="18"/>
  <c r="H47" i="18"/>
  <c r="H46" i="18"/>
  <c r="H45" i="18"/>
  <c r="H44" i="18"/>
  <c r="H43" i="18"/>
  <c r="H42" i="18"/>
  <c r="H41" i="18"/>
  <c r="H40" i="18"/>
  <c r="H36" i="18"/>
  <c r="E36" i="18"/>
  <c r="D36" i="18"/>
  <c r="H35" i="18"/>
  <c r="E35" i="18"/>
  <c r="D35" i="18"/>
  <c r="H34" i="18"/>
  <c r="E34" i="18"/>
  <c r="D34" i="18"/>
  <c r="H33" i="18"/>
  <c r="E33" i="18"/>
  <c r="D33" i="18"/>
  <c r="H32" i="18"/>
  <c r="E32" i="18"/>
  <c r="D32" i="18" s="1"/>
  <c r="H31" i="18"/>
  <c r="E31" i="18"/>
  <c r="D31" i="18"/>
  <c r="H30" i="18"/>
  <c r="E30" i="18"/>
  <c r="D30" i="18"/>
  <c r="H28" i="18"/>
  <c r="E28" i="18"/>
  <c r="H27" i="18"/>
  <c r="E27" i="18"/>
  <c r="D27" i="18" s="1"/>
  <c r="H26" i="18"/>
  <c r="E26" i="18"/>
  <c r="D26" i="18"/>
  <c r="H25" i="18"/>
  <c r="E25" i="18"/>
  <c r="D25" i="18"/>
  <c r="H23" i="18"/>
  <c r="H22" i="18"/>
  <c r="E22" i="18"/>
  <c r="D22" i="18"/>
  <c r="H21" i="18"/>
  <c r="E21" i="18"/>
  <c r="D21" i="18"/>
  <c r="H19" i="18"/>
  <c r="E19" i="18"/>
  <c r="D19" i="18"/>
  <c r="H18" i="18"/>
  <c r="E18" i="18"/>
  <c r="D18" i="18"/>
  <c r="H17" i="18"/>
  <c r="E17" i="18"/>
  <c r="H15" i="18"/>
  <c r="H14" i="18"/>
  <c r="H13" i="18"/>
  <c r="C70" i="18"/>
  <c r="E15" i="18" l="1"/>
  <c r="D15" i="18" s="1"/>
  <c r="D37" i="18" s="1"/>
  <c r="I70" i="18"/>
  <c r="E70" i="18" s="1"/>
  <c r="D70" i="18" s="1"/>
  <c r="D44" i="18"/>
  <c r="D47" i="18"/>
  <c r="D52" i="18"/>
  <c r="D55" i="18"/>
  <c r="D60" i="18"/>
  <c r="D63" i="18"/>
  <c r="D68" i="18"/>
  <c r="D40" i="18"/>
  <c r="D58" i="18"/>
  <c r="D62" i="18"/>
  <c r="D66" i="18"/>
  <c r="C72" i="18"/>
  <c r="C73" i="18"/>
  <c r="G15" i="11"/>
  <c r="G14" i="11"/>
  <c r="I73" i="18" l="1"/>
  <c r="E73" i="18" s="1"/>
  <c r="D73" i="18" s="1"/>
  <c r="I72" i="18"/>
  <c r="E72" i="18" s="1"/>
  <c r="D72" i="18" s="1"/>
  <c r="I71" i="18"/>
  <c r="E71" i="18" s="1"/>
  <c r="E13" i="11"/>
  <c r="D13" i="11" s="1"/>
  <c r="F13" i="11"/>
  <c r="G13" i="11"/>
  <c r="B70" i="11"/>
  <c r="D71" i="18" l="1"/>
  <c r="D74" i="18" s="1"/>
  <c r="B77" i="18"/>
  <c r="D77" i="18" s="1"/>
  <c r="G52" i="15"/>
  <c r="F43" i="15"/>
  <c r="F44" i="15"/>
  <c r="F45" i="15"/>
  <c r="F46" i="15"/>
  <c r="F47" i="15"/>
  <c r="F48" i="15"/>
  <c r="F49" i="15"/>
  <c r="F50" i="15"/>
  <c r="F51" i="15"/>
  <c r="F52" i="15"/>
  <c r="F54" i="15"/>
  <c r="F55" i="15"/>
  <c r="F56" i="15"/>
  <c r="F42" i="15"/>
  <c r="B53" i="14"/>
  <c r="G52" i="14"/>
  <c r="F44" i="14"/>
  <c r="F45" i="14"/>
  <c r="F46" i="14"/>
  <c r="F47" i="14"/>
  <c r="F48" i="14"/>
  <c r="F49" i="14"/>
  <c r="F50" i="14"/>
  <c r="F51" i="14"/>
  <c r="F52" i="14"/>
  <c r="F53" i="14"/>
  <c r="F54" i="14"/>
  <c r="F55" i="14"/>
  <c r="F56" i="14"/>
  <c r="F43" i="14"/>
  <c r="F42" i="14"/>
  <c r="B76" i="18" l="1"/>
  <c r="D76" i="18" s="1"/>
  <c r="G56" i="11"/>
  <c r="E56" i="11" s="1"/>
  <c r="G57" i="11"/>
  <c r="E57" i="11" s="1"/>
  <c r="G58" i="11"/>
  <c r="E58" i="11" s="1"/>
  <c r="G59" i="11"/>
  <c r="E59" i="11" s="1"/>
  <c r="G60" i="11"/>
  <c r="E60" i="11" s="1"/>
  <c r="G61" i="11"/>
  <c r="E61" i="11" s="1"/>
  <c r="G62" i="11"/>
  <c r="E62" i="11" s="1"/>
  <c r="G63" i="11"/>
  <c r="E63" i="11" s="1"/>
  <c r="G64" i="11"/>
  <c r="E64" i="11" s="1"/>
  <c r="G65" i="11"/>
  <c r="E65" i="11" s="1"/>
  <c r="F56" i="11"/>
  <c r="F57" i="11"/>
  <c r="F58" i="11"/>
  <c r="F59" i="11"/>
  <c r="F60" i="11"/>
  <c r="F61" i="11"/>
  <c r="F62" i="11"/>
  <c r="F63" i="11"/>
  <c r="G43" i="11"/>
  <c r="E43" i="11" s="1"/>
  <c r="G44" i="11"/>
  <c r="E44" i="11" s="1"/>
  <c r="G45" i="11"/>
  <c r="E45" i="11" s="1"/>
  <c r="G46" i="11"/>
  <c r="E46" i="11" s="1"/>
  <c r="G47" i="11"/>
  <c r="E47" i="11" s="1"/>
  <c r="G48" i="11"/>
  <c r="E48" i="11" s="1"/>
  <c r="G49" i="11"/>
  <c r="E49" i="11" s="1"/>
  <c r="G50" i="11"/>
  <c r="E50" i="11" s="1"/>
  <c r="G51" i="11"/>
  <c r="E51" i="11" s="1"/>
  <c r="G52" i="11"/>
  <c r="E52" i="11" s="1"/>
  <c r="G53" i="11"/>
  <c r="E53" i="11" s="1"/>
  <c r="G54" i="11"/>
  <c r="E54" i="11" s="1"/>
  <c r="G55" i="11"/>
  <c r="E55" i="11" s="1"/>
  <c r="G66" i="11"/>
  <c r="E66" i="11" s="1"/>
  <c r="G67" i="11"/>
  <c r="E67" i="11" s="1"/>
  <c r="G68" i="11"/>
  <c r="E68" i="11" s="1"/>
  <c r="G69" i="11"/>
  <c r="E69" i="11" s="1"/>
  <c r="F55" i="11"/>
  <c r="F64" i="11"/>
  <c r="F65" i="11"/>
  <c r="F66" i="11"/>
  <c r="F67" i="11"/>
  <c r="F68" i="11"/>
  <c r="F69" i="11"/>
  <c r="F44" i="11"/>
  <c r="F43" i="11"/>
  <c r="F45" i="11"/>
  <c r="F46" i="11"/>
  <c r="F47" i="11"/>
  <c r="F48" i="11"/>
  <c r="F49" i="11"/>
  <c r="F50" i="11"/>
  <c r="F51" i="11"/>
  <c r="F52" i="11"/>
  <c r="F53" i="11"/>
  <c r="F54" i="11"/>
  <c r="F42" i="11"/>
  <c r="F41" i="11"/>
  <c r="F40" i="11"/>
  <c r="B53" i="15"/>
  <c r="F53" i="15" s="1"/>
  <c r="E52" i="15"/>
  <c r="D52" i="15" s="1"/>
  <c r="F38" i="15"/>
  <c r="E38" i="15"/>
  <c r="D38" i="15"/>
  <c r="F37" i="15"/>
  <c r="E37" i="15"/>
  <c r="D37" i="15"/>
  <c r="F36" i="15"/>
  <c r="E36" i="15"/>
  <c r="D36" i="15"/>
  <c r="F35" i="15"/>
  <c r="E35" i="15"/>
  <c r="D35" i="15"/>
  <c r="F34" i="15"/>
  <c r="E34" i="15"/>
  <c r="D34" i="15"/>
  <c r="G33" i="15"/>
  <c r="F33" i="15"/>
  <c r="E33" i="15"/>
  <c r="D33" i="15"/>
  <c r="F32" i="15"/>
  <c r="E32" i="15"/>
  <c r="D32" i="15"/>
  <c r="F30" i="15"/>
  <c r="E30" i="15"/>
  <c r="D30" i="15"/>
  <c r="F29" i="15"/>
  <c r="E29" i="15"/>
  <c r="D29" i="15"/>
  <c r="G28" i="15"/>
  <c r="F28" i="15"/>
  <c r="E28" i="15"/>
  <c r="D28" i="15"/>
  <c r="F27" i="15"/>
  <c r="E27" i="15"/>
  <c r="D27" i="15"/>
  <c r="F25" i="15"/>
  <c r="G24" i="15"/>
  <c r="F24" i="15"/>
  <c r="E24" i="15"/>
  <c r="D24" i="15"/>
  <c r="F23" i="15"/>
  <c r="E23" i="15"/>
  <c r="D23" i="15"/>
  <c r="F21" i="15"/>
  <c r="E21" i="15"/>
  <c r="D21" i="15"/>
  <c r="G20" i="15"/>
  <c r="F20" i="15"/>
  <c r="E20" i="15"/>
  <c r="D20" i="15"/>
  <c r="F19" i="15"/>
  <c r="E19" i="15"/>
  <c r="D19" i="15"/>
  <c r="F17" i="15"/>
  <c r="G16" i="15"/>
  <c r="F16" i="15"/>
  <c r="E16" i="15"/>
  <c r="D16" i="15" s="1"/>
  <c r="F15" i="15"/>
  <c r="F11" i="15"/>
  <c r="F10" i="15"/>
  <c r="B6" i="15"/>
  <c r="F2" i="15"/>
  <c r="D60" i="11" l="1"/>
  <c r="D68" i="11"/>
  <c r="D67" i="11"/>
  <c r="D66" i="11"/>
  <c r="D65" i="11"/>
  <c r="D64" i="11"/>
  <c r="D63" i="11"/>
  <c r="D62" i="11"/>
  <c r="D61" i="11"/>
  <c r="D59" i="11"/>
  <c r="D58" i="11"/>
  <c r="D56" i="11"/>
  <c r="D55" i="11"/>
  <c r="D54" i="11"/>
  <c r="D53" i="11"/>
  <c r="D52" i="11"/>
  <c r="D51" i="11"/>
  <c r="D50" i="11"/>
  <c r="D49" i="11"/>
  <c r="D48" i="11"/>
  <c r="D47" i="11"/>
  <c r="D46" i="11"/>
  <c r="D45" i="11"/>
  <c r="D44" i="11"/>
  <c r="D43" i="11"/>
  <c r="D69" i="11"/>
  <c r="D57" i="11"/>
  <c r="C53" i="15"/>
  <c r="B7" i="15"/>
  <c r="C54" i="15"/>
  <c r="C55" i="15"/>
  <c r="C56" i="15"/>
  <c r="B22" i="14" l="1"/>
  <c r="E32" i="14" l="1"/>
  <c r="E36" i="11"/>
  <c r="D36" i="11"/>
  <c r="E35" i="11"/>
  <c r="D35" i="11"/>
  <c r="E34" i="11"/>
  <c r="D34" i="11"/>
  <c r="E33" i="11"/>
  <c r="D33" i="11"/>
  <c r="E32" i="11"/>
  <c r="D32" i="11" s="1"/>
  <c r="E31" i="11"/>
  <c r="D31" i="11" s="1"/>
  <c r="E30" i="11"/>
  <c r="D30" i="11"/>
  <c r="E28" i="11"/>
  <c r="D28" i="11"/>
  <c r="E27" i="11"/>
  <c r="D27" i="11" s="1"/>
  <c r="E26" i="11"/>
  <c r="D26" i="11"/>
  <c r="E25" i="11"/>
  <c r="D25" i="11" s="1"/>
  <c r="E22" i="11"/>
  <c r="D22" i="11" s="1"/>
  <c r="E21" i="11"/>
  <c r="D21" i="11" s="1"/>
  <c r="E19" i="11"/>
  <c r="D19" i="11" s="1"/>
  <c r="E18" i="11"/>
  <c r="D18" i="11" s="1"/>
  <c r="E17" i="11"/>
  <c r="D17" i="11" s="1"/>
  <c r="E15" i="11"/>
  <c r="D15" i="11" s="1"/>
  <c r="E14" i="11"/>
  <c r="D14" i="11" s="1"/>
  <c r="F14" i="11"/>
  <c r="F15" i="11"/>
  <c r="D32" i="14"/>
  <c r="E52" i="14" l="1"/>
  <c r="F38" i="14"/>
  <c r="E38" i="14"/>
  <c r="D38" i="14"/>
  <c r="F37" i="14"/>
  <c r="E37" i="14"/>
  <c r="D37" i="14"/>
  <c r="F36" i="14"/>
  <c r="E36" i="14"/>
  <c r="D36" i="14"/>
  <c r="F35" i="14"/>
  <c r="E35" i="14"/>
  <c r="D35" i="14"/>
  <c r="F34" i="14"/>
  <c r="E34" i="14"/>
  <c r="D34" i="14"/>
  <c r="G33" i="14"/>
  <c r="F33" i="14"/>
  <c r="E33" i="14"/>
  <c r="D33" i="14"/>
  <c r="F32" i="14"/>
  <c r="G30" i="14"/>
  <c r="F30" i="14"/>
  <c r="E30" i="14"/>
  <c r="D30" i="14"/>
  <c r="G29" i="14"/>
  <c r="F29" i="14"/>
  <c r="E29" i="14"/>
  <c r="D29" i="14"/>
  <c r="G28" i="14"/>
  <c r="F28" i="14"/>
  <c r="E28" i="14"/>
  <c r="D28" i="14"/>
  <c r="G27" i="14"/>
  <c r="F27" i="14"/>
  <c r="E27" i="14"/>
  <c r="D27" i="14"/>
  <c r="G25" i="14"/>
  <c r="F25" i="14"/>
  <c r="G24" i="14"/>
  <c r="F24" i="14"/>
  <c r="E24" i="14"/>
  <c r="D24" i="14" s="1"/>
  <c r="F23" i="14"/>
  <c r="E23" i="14"/>
  <c r="D23" i="14" s="1"/>
  <c r="G21" i="14"/>
  <c r="F21" i="14"/>
  <c r="E21" i="14"/>
  <c r="D21" i="14" s="1"/>
  <c r="G20" i="14"/>
  <c r="F20" i="14"/>
  <c r="E20" i="14"/>
  <c r="D20" i="14" s="1"/>
  <c r="F19" i="14"/>
  <c r="E19" i="14"/>
  <c r="D19" i="14" s="1"/>
  <c r="F17" i="14"/>
  <c r="E17" i="14"/>
  <c r="D17" i="14" s="1"/>
  <c r="G16" i="14"/>
  <c r="F16" i="14"/>
  <c r="E16" i="14"/>
  <c r="D16" i="14" s="1"/>
  <c r="G15" i="14"/>
  <c r="F15" i="14"/>
  <c r="F11" i="14"/>
  <c r="F10" i="14"/>
  <c r="B6" i="14"/>
  <c r="F2" i="14"/>
  <c r="B5" i="11"/>
  <c r="F28" i="11"/>
  <c r="G32" i="11"/>
  <c r="G36" i="11"/>
  <c r="F32" i="11"/>
  <c r="F33" i="11"/>
  <c r="F34" i="11"/>
  <c r="F35" i="11"/>
  <c r="F36" i="11"/>
  <c r="F70" i="11"/>
  <c r="F71" i="11"/>
  <c r="F72" i="11"/>
  <c r="F31" i="11"/>
  <c r="F30" i="11"/>
  <c r="F26" i="11"/>
  <c r="F27" i="11"/>
  <c r="F25" i="11"/>
  <c r="F22" i="11"/>
  <c r="F23" i="11"/>
  <c r="F21" i="11"/>
  <c r="F18" i="11"/>
  <c r="F19" i="11"/>
  <c r="F17" i="11"/>
  <c r="G31" i="11"/>
  <c r="G21" i="11"/>
  <c r="G18" i="11"/>
  <c r="F15" i="3"/>
  <c r="H15" i="3" s="1"/>
  <c r="F14" i="3"/>
  <c r="H14" i="3" s="1"/>
  <c r="F13" i="3"/>
  <c r="H13" i="3" s="1"/>
  <c r="G34" i="14"/>
  <c r="F6" i="3"/>
  <c r="G35" i="14" s="1"/>
  <c r="F7" i="3"/>
  <c r="F8" i="3"/>
  <c r="F9" i="3"/>
  <c r="G38" i="14" s="1"/>
  <c r="F10" i="3"/>
  <c r="H10" i="3" s="1"/>
  <c r="F11" i="3"/>
  <c r="H11" i="3" s="1"/>
  <c r="F12" i="3"/>
  <c r="H12" i="3" s="1"/>
  <c r="G32" i="14"/>
  <c r="F73" i="11"/>
  <c r="F9" i="11"/>
  <c r="F8" i="11"/>
  <c r="F2" i="11"/>
  <c r="C72" i="11" l="1"/>
  <c r="C71" i="11"/>
  <c r="G71" i="11" s="1"/>
  <c r="C70" i="11"/>
  <c r="G70" i="11" s="1"/>
  <c r="E70" i="11" s="1"/>
  <c r="D70" i="11" s="1"/>
  <c r="C73" i="11"/>
  <c r="G73" i="11" s="1"/>
  <c r="E73" i="11" s="1"/>
  <c r="D73" i="11" s="1"/>
  <c r="H8" i="3"/>
  <c r="G37" i="15"/>
  <c r="H7" i="3"/>
  <c r="G36" i="15"/>
  <c r="G25" i="11"/>
  <c r="G34" i="11"/>
  <c r="G28" i="11"/>
  <c r="G19" i="14"/>
  <c r="G36" i="14"/>
  <c r="G37" i="14"/>
  <c r="G35" i="11"/>
  <c r="H6" i="3"/>
  <c r="G35" i="15"/>
  <c r="G30" i="15"/>
  <c r="G44" i="14"/>
  <c r="E44" i="14" s="1"/>
  <c r="D44" i="14" s="1"/>
  <c r="G44" i="15"/>
  <c r="E44" i="15" s="1"/>
  <c r="D44" i="15" s="1"/>
  <c r="G43" i="14"/>
  <c r="E43" i="14" s="1"/>
  <c r="D43" i="14" s="1"/>
  <c r="G43" i="15"/>
  <c r="E43" i="15" s="1"/>
  <c r="D43" i="15" s="1"/>
  <c r="G23" i="15"/>
  <c r="G19" i="15"/>
  <c r="G27" i="15"/>
  <c r="G15" i="15"/>
  <c r="E15" i="15" s="1"/>
  <c r="G42" i="15"/>
  <c r="E42" i="15" s="1"/>
  <c r="D42" i="15" s="1"/>
  <c r="G32" i="15"/>
  <c r="H9" i="3"/>
  <c r="G38" i="15"/>
  <c r="H5" i="3"/>
  <c r="G45" i="15"/>
  <c r="E45" i="15" s="1"/>
  <c r="D45" i="15" s="1"/>
  <c r="G49" i="15"/>
  <c r="E49" i="15" s="1"/>
  <c r="D49" i="15" s="1"/>
  <c r="G48" i="14"/>
  <c r="E48" i="14" s="1"/>
  <c r="D48" i="14" s="1"/>
  <c r="G51" i="15"/>
  <c r="E51" i="15" s="1"/>
  <c r="D51" i="15" s="1"/>
  <c r="G50" i="14"/>
  <c r="E50" i="14" s="1"/>
  <c r="G48" i="15"/>
  <c r="E48" i="15" s="1"/>
  <c r="D48" i="15" s="1"/>
  <c r="G51" i="14"/>
  <c r="E51" i="14" s="1"/>
  <c r="D51" i="14" s="1"/>
  <c r="G46" i="15"/>
  <c r="E46" i="15" s="1"/>
  <c r="D46" i="15" s="1"/>
  <c r="G50" i="15"/>
  <c r="E50" i="15" s="1"/>
  <c r="D50" i="15" s="1"/>
  <c r="G45" i="14"/>
  <c r="E45" i="14" s="1"/>
  <c r="G49" i="14"/>
  <c r="E49" i="14" s="1"/>
  <c r="D49" i="14" s="1"/>
  <c r="G47" i="15"/>
  <c r="E47" i="15" s="1"/>
  <c r="D47" i="15" s="1"/>
  <c r="G46" i="14"/>
  <c r="E46" i="14" s="1"/>
  <c r="G47" i="14"/>
  <c r="E47" i="14" s="1"/>
  <c r="G21" i="15"/>
  <c r="G17" i="15"/>
  <c r="E17" i="15" s="1"/>
  <c r="D17" i="15" s="1"/>
  <c r="G29" i="15"/>
  <c r="G34" i="15"/>
  <c r="G25" i="15"/>
  <c r="E25" i="15" s="1"/>
  <c r="D25" i="15" s="1"/>
  <c r="G54" i="15"/>
  <c r="E54" i="15" s="1"/>
  <c r="D54" i="15" s="1"/>
  <c r="G56" i="15"/>
  <c r="E56" i="15" s="1"/>
  <c r="D56" i="15" s="1"/>
  <c r="G53" i="15"/>
  <c r="E53" i="15" s="1"/>
  <c r="D53" i="15" s="1"/>
  <c r="G55" i="15"/>
  <c r="E55" i="15" s="1"/>
  <c r="D55" i="15" s="1"/>
  <c r="G19" i="11"/>
  <c r="G27" i="11"/>
  <c r="G33" i="11"/>
  <c r="G17" i="14"/>
  <c r="G23" i="14"/>
  <c r="G42" i="14"/>
  <c r="E42" i="14" s="1"/>
  <c r="E25" i="14"/>
  <c r="D25" i="14" s="1"/>
  <c r="E15" i="14"/>
  <c r="D15" i="14" s="1"/>
  <c r="D52" i="14"/>
  <c r="B6" i="11"/>
  <c r="C54" i="14"/>
  <c r="C53" i="14"/>
  <c r="E23" i="11"/>
  <c r="D23" i="11" s="1"/>
  <c r="D37" i="11" s="1"/>
  <c r="D50" i="14"/>
  <c r="D47" i="14"/>
  <c r="D46" i="14"/>
  <c r="D45" i="14"/>
  <c r="D42" i="14"/>
  <c r="C55" i="14"/>
  <c r="B7" i="14"/>
  <c r="C56" i="14"/>
  <c r="G17" i="11"/>
  <c r="G23" i="11"/>
  <c r="G26" i="11"/>
  <c r="G22" i="11"/>
  <c r="G30" i="11"/>
  <c r="G42" i="11"/>
  <c r="G41" i="11"/>
  <c r="E41" i="11" s="1"/>
  <c r="D41" i="11" s="1"/>
  <c r="G40" i="11"/>
  <c r="E40" i="11" s="1"/>
  <c r="D40" i="11" s="1"/>
  <c r="D57" i="15" l="1"/>
  <c r="D15" i="15"/>
  <c r="D39" i="15" s="1"/>
  <c r="B59" i="15" s="1"/>
  <c r="B60" i="15"/>
  <c r="D60" i="15" s="1"/>
  <c r="G53" i="14"/>
  <c r="E53" i="14" s="1"/>
  <c r="G56" i="14"/>
  <c r="E56" i="14" s="1"/>
  <c r="D56" i="14" s="1"/>
  <c r="G55" i="14"/>
  <c r="E55" i="14" s="1"/>
  <c r="D55" i="14" s="1"/>
  <c r="G54" i="14"/>
  <c r="E54" i="14" s="1"/>
  <c r="D54" i="14" s="1"/>
  <c r="D39" i="14"/>
  <c r="E42" i="11"/>
  <c r="D42" i="11" s="1"/>
  <c r="G72" i="11"/>
  <c r="E72" i="11" s="1"/>
  <c r="D72" i="11" s="1"/>
  <c r="E71" i="11"/>
  <c r="D71" i="11" s="1"/>
  <c r="D59" i="15" l="1"/>
  <c r="D53" i="14"/>
  <c r="D57" i="14" s="1"/>
  <c r="B59" i="14" s="1"/>
  <c r="D59" i="14" s="1"/>
  <c r="B60" i="14"/>
  <c r="D60" i="14" s="1"/>
  <c r="D74" i="11"/>
  <c r="B76" i="11" s="1"/>
  <c r="B77" i="11"/>
  <c r="D77" i="11" s="1"/>
  <c r="D76" i="11" l="1"/>
</calcChain>
</file>

<file path=xl/comments1.xml><?xml version="1.0" encoding="utf-8"?>
<comments xmlns="http://schemas.openxmlformats.org/spreadsheetml/2006/main">
  <authors>
    <author>201810</author>
  </authors>
  <commentList>
    <comment ref="B3" authorId="0" shapeId="0">
      <text>
        <r>
          <rPr>
            <sz val="9"/>
            <color indexed="81"/>
            <rFont val="MS P ゴシック"/>
            <family val="3"/>
            <charset val="128"/>
          </rPr>
          <t>現地で計測した水圧</t>
        </r>
      </text>
    </comment>
    <comment ref="B13" authorId="0" shapeId="0">
      <text>
        <r>
          <rPr>
            <sz val="9"/>
            <color indexed="81"/>
            <rFont val="MS P ゴシック"/>
            <family val="3"/>
            <charset val="128"/>
          </rPr>
          <t>サドルから末端水栓（2階トイレ）までの管路延長（立ち上がり管延長を含む）
（水色〇＋青色〇の合計＋フレキ延長）</t>
        </r>
      </text>
    </comment>
    <comment ref="B15" authorId="0" shapeId="0">
      <text>
        <r>
          <rPr>
            <sz val="9"/>
            <color indexed="81"/>
            <rFont val="MS P ゴシック"/>
            <family val="3"/>
            <charset val="128"/>
          </rPr>
          <t>ヘッダーから２Fトイレ(立ち上がり管延長を含む)
（水色〇の合計）</t>
        </r>
      </text>
    </comment>
    <comment ref="B25" authorId="0" shapeId="0">
      <text>
        <r>
          <rPr>
            <sz val="9"/>
            <color indexed="81"/>
            <rFont val="MS P ゴシック"/>
            <family val="3"/>
            <charset val="128"/>
          </rPr>
          <t>サドルからヘッダー
（青色〇との合計＋フレキ延長）</t>
        </r>
      </text>
    </comment>
    <comment ref="A42" authorId="0" shapeId="0">
      <text>
        <r>
          <rPr>
            <sz val="9"/>
            <color indexed="81"/>
            <rFont val="MS P ゴシック"/>
            <family val="3"/>
            <charset val="128"/>
          </rPr>
          <t>サドルから末端水栓（2階トイレ）までの</t>
        </r>
        <r>
          <rPr>
            <b/>
            <sz val="9"/>
            <color indexed="81"/>
            <rFont val="MS P ゴシック"/>
            <family val="3"/>
            <charset val="128"/>
          </rPr>
          <t>経路上にある</t>
        </r>
        <r>
          <rPr>
            <sz val="9"/>
            <color indexed="81"/>
            <rFont val="MS P ゴシック"/>
            <family val="3"/>
            <charset val="128"/>
          </rPr>
          <t>給水器具のみ入力</t>
        </r>
      </text>
    </comment>
  </commentList>
</comments>
</file>

<file path=xl/comments2.xml><?xml version="1.0" encoding="utf-8"?>
<comments xmlns="http://schemas.openxmlformats.org/spreadsheetml/2006/main">
  <authors>
    <author>201810</author>
  </authors>
  <commentList>
    <comment ref="B3" authorId="0" shapeId="0">
      <text>
        <r>
          <rPr>
            <sz val="9"/>
            <color indexed="81"/>
            <rFont val="MS P ゴシック"/>
            <family val="3"/>
            <charset val="128"/>
          </rPr>
          <t>現地で計測した水圧</t>
        </r>
      </text>
    </comment>
    <comment ref="B13" authorId="0" shapeId="0">
      <text>
        <r>
          <rPr>
            <sz val="9"/>
            <color indexed="81"/>
            <rFont val="MS P ゴシック"/>
            <family val="3"/>
            <charset val="128"/>
          </rPr>
          <t>サドルから末端水栓（2階トイレ）までの管路延長
（水色〇＋青色〇の合計＋フレキ延長）</t>
        </r>
      </text>
    </comment>
    <comment ref="B15" authorId="0" shapeId="0">
      <text>
        <r>
          <rPr>
            <sz val="9"/>
            <color indexed="81"/>
            <rFont val="MS P ゴシック"/>
            <family val="3"/>
            <charset val="128"/>
          </rPr>
          <t>ヘッダーから２Fトイレ(立ち上がり管延長を含む)
（水色〇の合計）</t>
        </r>
      </text>
    </comment>
    <comment ref="B17" authorId="0" shapeId="0">
      <text>
        <r>
          <rPr>
            <sz val="9"/>
            <color indexed="81"/>
            <rFont val="MS P ゴシック"/>
            <family val="3"/>
            <charset val="128"/>
          </rPr>
          <t>量水器からヘッダー
（青色〇の二次側管路＋フレキⅢ延長）</t>
        </r>
      </text>
    </comment>
    <comment ref="B25" authorId="0" shapeId="0">
      <text>
        <r>
          <rPr>
            <sz val="9"/>
            <color indexed="81"/>
            <rFont val="MS P ゴシック"/>
            <family val="3"/>
            <charset val="128"/>
          </rPr>
          <t>サドルから直結止水栓
（青色〇の一次側管路＋フレキⅡ延長）</t>
        </r>
      </text>
    </comment>
    <comment ref="A42" authorId="0" shapeId="0">
      <text>
        <r>
          <rPr>
            <sz val="9"/>
            <color indexed="81"/>
            <rFont val="MS P ゴシック"/>
            <family val="3"/>
            <charset val="128"/>
          </rPr>
          <t>サドルから末端水栓（2階トイレ）までの</t>
        </r>
        <r>
          <rPr>
            <b/>
            <sz val="9"/>
            <color indexed="81"/>
            <rFont val="MS P ゴシック"/>
            <family val="3"/>
            <charset val="128"/>
          </rPr>
          <t>経路上にある</t>
        </r>
        <r>
          <rPr>
            <sz val="9"/>
            <color indexed="81"/>
            <rFont val="MS P ゴシック"/>
            <family val="3"/>
            <charset val="128"/>
          </rPr>
          <t>給水器具のみ入力</t>
        </r>
      </text>
    </comment>
  </commentList>
</comments>
</file>

<file path=xl/comments3.xml><?xml version="1.0" encoding="utf-8"?>
<comments xmlns="http://schemas.openxmlformats.org/spreadsheetml/2006/main">
  <authors>
    <author>201810</author>
  </authors>
  <commentList>
    <comment ref="F5" authorId="0" shapeId="0">
      <text>
        <r>
          <rPr>
            <b/>
            <sz val="9"/>
            <color indexed="81"/>
            <rFont val="MS P ゴシック"/>
            <family val="3"/>
            <charset val="128"/>
          </rPr>
          <t xml:space="preserve">末端水栓から入力
</t>
        </r>
        <r>
          <rPr>
            <sz val="9"/>
            <color indexed="81"/>
            <rFont val="MS P ゴシック"/>
            <family val="3"/>
            <charset val="128"/>
          </rPr>
          <t>1：一番末端の水栓
2：末端から2番目に想定している水栓
3：末端から3番目に想定している水栓
4：末端から4番目に想定している水栓</t>
        </r>
      </text>
    </comment>
  </commentList>
</comments>
</file>

<file path=xl/sharedStrings.xml><?xml version="1.0" encoding="utf-8"?>
<sst xmlns="http://schemas.openxmlformats.org/spreadsheetml/2006/main" count="478" uniqueCount="115">
  <si>
    <t>使用水量</t>
    <rPh sb="0" eb="2">
      <t>シヨウ</t>
    </rPh>
    <rPh sb="2" eb="4">
      <t>スイリョウ</t>
    </rPh>
    <phoneticPr fontId="1"/>
  </si>
  <si>
    <t>損失水頭</t>
    <rPh sb="0" eb="2">
      <t>ソンシツ</t>
    </rPh>
    <rPh sb="2" eb="4">
      <t>スイトウ</t>
    </rPh>
    <phoneticPr fontId="1"/>
  </si>
  <si>
    <t>サドル分水栓</t>
    <rPh sb="3" eb="5">
      <t>ブンスイ</t>
    </rPh>
    <rPh sb="5" eb="6">
      <t>セン</t>
    </rPh>
    <phoneticPr fontId="1"/>
  </si>
  <si>
    <t>m</t>
    <phoneticPr fontId="1"/>
  </si>
  <si>
    <t>直管換算表（参考）</t>
    <rPh sb="0" eb="1">
      <t>チョク</t>
    </rPh>
    <rPh sb="1" eb="2">
      <t>カン</t>
    </rPh>
    <rPh sb="2" eb="4">
      <t>カンサン</t>
    </rPh>
    <rPh sb="4" eb="5">
      <t>ヒョウ</t>
    </rPh>
    <rPh sb="6" eb="8">
      <t>サンコウ</t>
    </rPh>
    <phoneticPr fontId="1"/>
  </si>
  <si>
    <t>量水器（直線流羽車）</t>
    <rPh sb="0" eb="3">
      <t>リョウスイキ</t>
    </rPh>
    <rPh sb="4" eb="6">
      <t>チョクセン</t>
    </rPh>
    <rPh sb="6" eb="7">
      <t>リュウ</t>
    </rPh>
    <rPh sb="7" eb="8">
      <t>ハネ</t>
    </rPh>
    <rPh sb="8" eb="9">
      <t>クルマ</t>
    </rPh>
    <phoneticPr fontId="1"/>
  </si>
  <si>
    <t>－</t>
    <phoneticPr fontId="1"/>
  </si>
  <si>
    <t>メータバイパスユニット（逆止弁付）</t>
    <rPh sb="12" eb="13">
      <t>ギャク</t>
    </rPh>
    <rPh sb="13" eb="14">
      <t>ト</t>
    </rPh>
    <rPh sb="14" eb="15">
      <t>ベン</t>
    </rPh>
    <rPh sb="15" eb="16">
      <t>ツキ</t>
    </rPh>
    <phoneticPr fontId="1"/>
  </si>
  <si>
    <t>メータバイパスユニット（逆止弁無）</t>
    <rPh sb="12" eb="13">
      <t>ギャク</t>
    </rPh>
    <rPh sb="13" eb="14">
      <t>ト</t>
    </rPh>
    <rPh sb="14" eb="15">
      <t>ベン</t>
    </rPh>
    <rPh sb="15" eb="16">
      <t>ナシ</t>
    </rPh>
    <phoneticPr fontId="1"/>
  </si>
  <si>
    <t>複式メータユニット</t>
    <rPh sb="0" eb="2">
      <t>フクシキ</t>
    </rPh>
    <phoneticPr fontId="1"/>
  </si>
  <si>
    <t>エルボ（塩ビ管）</t>
    <rPh sb="4" eb="5">
      <t>エン</t>
    </rPh>
    <rPh sb="6" eb="7">
      <t>カン</t>
    </rPh>
    <phoneticPr fontId="1"/>
  </si>
  <si>
    <t>チーズ（分岐　塩ビ管）</t>
    <rPh sb="4" eb="6">
      <t>ブンキ</t>
    </rPh>
    <rPh sb="7" eb="8">
      <t>エン</t>
    </rPh>
    <rPh sb="9" eb="10">
      <t>カン</t>
    </rPh>
    <phoneticPr fontId="1"/>
  </si>
  <si>
    <t>異径ソケット（塩ビ管）</t>
    <rPh sb="0" eb="1">
      <t>イ</t>
    </rPh>
    <rPh sb="1" eb="2">
      <t>ケイ</t>
    </rPh>
    <rPh sb="7" eb="8">
      <t>エン</t>
    </rPh>
    <rPh sb="9" eb="10">
      <t>カン</t>
    </rPh>
    <phoneticPr fontId="1"/>
  </si>
  <si>
    <t>エルボ（ＥＦ接合）</t>
    <rPh sb="6" eb="8">
      <t>セツゴウ</t>
    </rPh>
    <phoneticPr fontId="1"/>
  </si>
  <si>
    <t>チ－ズ（分岐　ＥＦ接合）</t>
    <rPh sb="4" eb="6">
      <t>ブンキ</t>
    </rPh>
    <rPh sb="9" eb="11">
      <t>セツゴウ</t>
    </rPh>
    <phoneticPr fontId="1"/>
  </si>
  <si>
    <t>異径ソケット（ＥＦ接合）</t>
    <rPh sb="0" eb="1">
      <t>イ</t>
    </rPh>
    <rPh sb="1" eb="2">
      <t>ケイ</t>
    </rPh>
    <rPh sb="9" eb="11">
      <t>セツゴウ</t>
    </rPh>
    <phoneticPr fontId="1"/>
  </si>
  <si>
    <t>給水栓</t>
    <rPh sb="0" eb="2">
      <t>キュウスイ</t>
    </rPh>
    <rPh sb="2" eb="3">
      <t>セン</t>
    </rPh>
    <phoneticPr fontId="1"/>
  </si>
  <si>
    <t>アングル止水栓</t>
    <rPh sb="4" eb="5">
      <t>ト</t>
    </rPh>
    <rPh sb="5" eb="6">
      <t>ミズ</t>
    </rPh>
    <rPh sb="6" eb="7">
      <t>セン</t>
    </rPh>
    <phoneticPr fontId="1"/>
  </si>
  <si>
    <t>仕切弁（コア付）</t>
    <rPh sb="0" eb="2">
      <t>シキ</t>
    </rPh>
    <rPh sb="2" eb="3">
      <t>ベン</t>
    </rPh>
    <rPh sb="6" eb="7">
      <t>ツキ</t>
    </rPh>
    <phoneticPr fontId="1"/>
  </si>
  <si>
    <t>仕切弁</t>
    <rPh sb="0" eb="2">
      <t>シキ</t>
    </rPh>
    <rPh sb="2" eb="3">
      <t>ベン</t>
    </rPh>
    <phoneticPr fontId="1"/>
  </si>
  <si>
    <t>玉形弁</t>
    <rPh sb="0" eb="1">
      <t>タマ</t>
    </rPh>
    <rPh sb="1" eb="2">
      <t>カタ</t>
    </rPh>
    <rPh sb="2" eb="3">
      <t>ベン</t>
    </rPh>
    <phoneticPr fontId="1"/>
  </si>
  <si>
    <t>スイング式逆止弁（コア付）</t>
    <rPh sb="4" eb="5">
      <t>シキ</t>
    </rPh>
    <rPh sb="5" eb="6">
      <t>ギャク</t>
    </rPh>
    <rPh sb="6" eb="7">
      <t>ト</t>
    </rPh>
    <rPh sb="7" eb="8">
      <t>ベン</t>
    </rPh>
    <rPh sb="11" eb="12">
      <t>ツキ</t>
    </rPh>
    <phoneticPr fontId="1"/>
  </si>
  <si>
    <t>スイング式逆止弁</t>
    <rPh sb="4" eb="5">
      <t>シキ</t>
    </rPh>
    <rPh sb="5" eb="6">
      <t>ギャク</t>
    </rPh>
    <rPh sb="6" eb="7">
      <t>ト</t>
    </rPh>
    <rPh sb="7" eb="8">
      <t>ベン</t>
    </rPh>
    <phoneticPr fontId="1"/>
  </si>
  <si>
    <t>単式逆止弁</t>
    <rPh sb="0" eb="2">
      <t>タンシキ</t>
    </rPh>
    <rPh sb="2" eb="3">
      <t>ギャク</t>
    </rPh>
    <rPh sb="3" eb="4">
      <t>ト</t>
    </rPh>
    <rPh sb="4" eb="5">
      <t>ベン</t>
    </rPh>
    <phoneticPr fontId="1"/>
  </si>
  <si>
    <t>ボール止水栓</t>
    <rPh sb="3" eb="5">
      <t>シスイ</t>
    </rPh>
    <rPh sb="5" eb="6">
      <t>セン</t>
    </rPh>
    <phoneticPr fontId="1"/>
  </si>
  <si>
    <t>－</t>
    <phoneticPr fontId="1"/>
  </si>
  <si>
    <t>直結止水栓</t>
    <rPh sb="0" eb="1">
      <t>チョク</t>
    </rPh>
    <rPh sb="1" eb="2">
      <t>ケツ</t>
    </rPh>
    <rPh sb="2" eb="4">
      <t>シスイ</t>
    </rPh>
    <rPh sb="4" eb="5">
      <t>セン</t>
    </rPh>
    <phoneticPr fontId="1"/>
  </si>
  <si>
    <t>圧力損失</t>
    <rPh sb="0" eb="2">
      <t>アツリョク</t>
    </rPh>
    <rPh sb="2" eb="4">
      <t>ソンシツ</t>
    </rPh>
    <phoneticPr fontId="1"/>
  </si>
  <si>
    <t>項目</t>
    <rPh sb="0" eb="2">
      <t>コウモク</t>
    </rPh>
    <phoneticPr fontId="1"/>
  </si>
  <si>
    <t>圧力損失（ｍ）</t>
    <rPh sb="0" eb="2">
      <t>アツリョク</t>
    </rPh>
    <rPh sb="2" eb="4">
      <t>ソンシツ</t>
    </rPh>
    <phoneticPr fontId="1"/>
  </si>
  <si>
    <t>備考</t>
    <rPh sb="0" eb="2">
      <t>ビコウ</t>
    </rPh>
    <phoneticPr fontId="1"/>
  </si>
  <si>
    <t>さや管ヘッダー</t>
    <rPh sb="2" eb="3">
      <t>カン</t>
    </rPh>
    <phoneticPr fontId="1"/>
  </si>
  <si>
    <t>架橋ポリエチレン管設計施工マニュアル</t>
    <rPh sb="0" eb="2">
      <t>カキョウ</t>
    </rPh>
    <rPh sb="8" eb="9">
      <t>カン</t>
    </rPh>
    <rPh sb="9" eb="11">
      <t>セッケイ</t>
    </rPh>
    <rPh sb="11" eb="13">
      <t>セコウ</t>
    </rPh>
    <phoneticPr fontId="1"/>
  </si>
  <si>
    <t>給水器具の必要圧力</t>
    <rPh sb="0" eb="2">
      <t>キュウスイ</t>
    </rPh>
    <rPh sb="2" eb="4">
      <t>キグ</t>
    </rPh>
    <rPh sb="5" eb="7">
      <t>ヒツヨウ</t>
    </rPh>
    <rPh sb="7" eb="9">
      <t>アツリョク</t>
    </rPh>
    <phoneticPr fontId="1"/>
  </si>
  <si>
    <t>圧力（ｍ）</t>
    <rPh sb="0" eb="2">
      <t>アツリョク</t>
    </rPh>
    <phoneticPr fontId="1"/>
  </si>
  <si>
    <t>シャワー</t>
    <phoneticPr fontId="1"/>
  </si>
  <si>
    <t>メーカ仕様</t>
    <rPh sb="3" eb="5">
      <t>シヨウ</t>
    </rPh>
    <phoneticPr fontId="1"/>
  </si>
  <si>
    <t>洗浄便座</t>
    <rPh sb="0" eb="2">
      <t>センジョウ</t>
    </rPh>
    <rPh sb="2" eb="4">
      <t>ベンザ</t>
    </rPh>
    <phoneticPr fontId="1"/>
  </si>
  <si>
    <t>混合栓</t>
    <rPh sb="0" eb="2">
      <t>コンゴウ</t>
    </rPh>
    <rPh sb="2" eb="3">
      <t>セン</t>
    </rPh>
    <phoneticPr fontId="1"/>
  </si>
  <si>
    <t>－</t>
    <phoneticPr fontId="1"/>
  </si>
  <si>
    <t>㎜</t>
    <phoneticPr fontId="1"/>
  </si>
  <si>
    <t>栓</t>
    <rPh sb="0" eb="1">
      <t>セン</t>
    </rPh>
    <phoneticPr fontId="1"/>
  </si>
  <si>
    <t>栓を想定</t>
    <rPh sb="0" eb="1">
      <t>セン</t>
    </rPh>
    <rPh sb="2" eb="4">
      <t>ソウテイ</t>
    </rPh>
    <phoneticPr fontId="1"/>
  </si>
  <si>
    <t>総水栓数</t>
    <rPh sb="0" eb="1">
      <t>ソウ</t>
    </rPh>
    <rPh sb="1" eb="3">
      <t>スイセン</t>
    </rPh>
    <rPh sb="3" eb="4">
      <t>スウ</t>
    </rPh>
    <phoneticPr fontId="1"/>
  </si>
  <si>
    <t>同時使用水栓数</t>
    <rPh sb="0" eb="2">
      <t>ドウジ</t>
    </rPh>
    <rPh sb="2" eb="4">
      <t>シヨウ</t>
    </rPh>
    <rPh sb="4" eb="6">
      <t>スイセン</t>
    </rPh>
    <rPh sb="6" eb="7">
      <t>スウ</t>
    </rPh>
    <phoneticPr fontId="1"/>
  </si>
  <si>
    <t>建物階数</t>
    <rPh sb="0" eb="2">
      <t>タテモノ</t>
    </rPh>
    <rPh sb="2" eb="4">
      <t>カイスウ</t>
    </rPh>
    <phoneticPr fontId="1"/>
  </si>
  <si>
    <t>階建て</t>
    <rPh sb="0" eb="1">
      <t>カイ</t>
    </rPh>
    <rPh sb="1" eb="2">
      <t>ダ</t>
    </rPh>
    <phoneticPr fontId="1"/>
  </si>
  <si>
    <t>現地最小動水圧</t>
    <rPh sb="0" eb="2">
      <t>ゲンチ</t>
    </rPh>
    <rPh sb="2" eb="4">
      <t>サイショウ</t>
    </rPh>
    <rPh sb="4" eb="5">
      <t>ドウ</t>
    </rPh>
    <rPh sb="5" eb="7">
      <t>スイアツ</t>
    </rPh>
    <phoneticPr fontId="1"/>
  </si>
  <si>
    <t>Mpa</t>
    <phoneticPr fontId="1"/>
  </si>
  <si>
    <t>総損失水頭</t>
    <rPh sb="0" eb="1">
      <t>ソウ</t>
    </rPh>
    <rPh sb="1" eb="3">
      <t>ソンシツ</t>
    </rPh>
    <rPh sb="3" eb="5">
      <t>スイトウ</t>
    </rPh>
    <phoneticPr fontId="1"/>
  </si>
  <si>
    <t>最大流速</t>
    <rPh sb="0" eb="2">
      <t>サイダイ</t>
    </rPh>
    <rPh sb="2" eb="4">
      <t>リュウソク</t>
    </rPh>
    <phoneticPr fontId="1"/>
  </si>
  <si>
    <t>m/s</t>
    <phoneticPr fontId="1"/>
  </si>
  <si>
    <t>流量</t>
    <rPh sb="0" eb="2">
      <t>リュウリョウ</t>
    </rPh>
    <phoneticPr fontId="1"/>
  </si>
  <si>
    <t>ヘッダーの有無</t>
    <rPh sb="5" eb="7">
      <t>ウム</t>
    </rPh>
    <phoneticPr fontId="1"/>
  </si>
  <si>
    <t>有</t>
    <rPh sb="0" eb="1">
      <t>アリ</t>
    </rPh>
    <phoneticPr fontId="1"/>
  </si>
  <si>
    <t>無</t>
    <rPh sb="0" eb="1">
      <t>ナ</t>
    </rPh>
    <phoneticPr fontId="1"/>
  </si>
  <si>
    <t>㎜以上が適当</t>
    <rPh sb="1" eb="3">
      <t>イジョウ</t>
    </rPh>
    <rPh sb="4" eb="6">
      <t>テキトウ</t>
    </rPh>
    <phoneticPr fontId="1"/>
  </si>
  <si>
    <t>直管換算延長</t>
    <rPh sb="0" eb="1">
      <t>チョク</t>
    </rPh>
    <rPh sb="1" eb="2">
      <t>カン</t>
    </rPh>
    <rPh sb="2" eb="4">
      <t>カンザン</t>
    </rPh>
    <rPh sb="4" eb="6">
      <t>エンチョウ</t>
    </rPh>
    <phoneticPr fontId="1"/>
  </si>
  <si>
    <t>うち1栓同時使用</t>
    <rPh sb="3" eb="4">
      <t>セン</t>
    </rPh>
    <rPh sb="4" eb="6">
      <t>ドウジ</t>
    </rPh>
    <rPh sb="6" eb="8">
      <t>シヨウ</t>
    </rPh>
    <phoneticPr fontId="1"/>
  </si>
  <si>
    <t>2栓同時使用</t>
    <rPh sb="1" eb="2">
      <t>セン</t>
    </rPh>
    <rPh sb="2" eb="4">
      <t>ドウジ</t>
    </rPh>
    <rPh sb="4" eb="6">
      <t>シヨウ</t>
    </rPh>
    <phoneticPr fontId="1"/>
  </si>
  <si>
    <t>3栓同時使用</t>
    <rPh sb="1" eb="2">
      <t>セン</t>
    </rPh>
    <rPh sb="2" eb="4">
      <t>ドウジ</t>
    </rPh>
    <rPh sb="4" eb="6">
      <t>シヨウ</t>
    </rPh>
    <phoneticPr fontId="1"/>
  </si>
  <si>
    <t>判定結果</t>
    <rPh sb="0" eb="2">
      <t>ハンテイ</t>
    </rPh>
    <rPh sb="2" eb="4">
      <t>ケッカ</t>
    </rPh>
    <phoneticPr fontId="1"/>
  </si>
  <si>
    <t>同時使用  水栓数</t>
    <rPh sb="0" eb="2">
      <t>ドウジ</t>
    </rPh>
    <rPh sb="2" eb="4">
      <t>シヨウ</t>
    </rPh>
    <rPh sb="6" eb="8">
      <t>スイセン</t>
    </rPh>
    <rPh sb="8" eb="9">
      <t>スウ</t>
    </rPh>
    <phoneticPr fontId="1"/>
  </si>
  <si>
    <t>給水器具　　　　　　　　　(分岐から末端水栓までの経路上)</t>
    <rPh sb="0" eb="2">
      <t>キュウスイ</t>
    </rPh>
    <rPh sb="2" eb="4">
      <t>キグ</t>
    </rPh>
    <rPh sb="14" eb="16">
      <t>ブンキ</t>
    </rPh>
    <rPh sb="18" eb="20">
      <t>マッタン</t>
    </rPh>
    <rPh sb="20" eb="22">
      <t>スイセン</t>
    </rPh>
    <rPh sb="25" eb="27">
      <t>ケイロ</t>
    </rPh>
    <rPh sb="27" eb="28">
      <t>ジョウ</t>
    </rPh>
    <phoneticPr fontId="1"/>
  </si>
  <si>
    <t>埋設メータユニット</t>
    <rPh sb="0" eb="2">
      <t>マイセツ</t>
    </rPh>
    <phoneticPr fontId="1"/>
  </si>
  <si>
    <t>末端水栓の種類</t>
    <rPh sb="0" eb="2">
      <t>マッタン</t>
    </rPh>
    <rPh sb="2" eb="4">
      <t>スイセン</t>
    </rPh>
    <rPh sb="5" eb="7">
      <t>シュルイ</t>
    </rPh>
    <phoneticPr fontId="1"/>
  </si>
  <si>
    <t>※量水器</t>
    <rPh sb="1" eb="4">
      <t>リョウスイキ</t>
    </rPh>
    <phoneticPr fontId="1"/>
  </si>
  <si>
    <t>量水器</t>
    <rPh sb="0" eb="3">
      <t>リョウスイキ</t>
    </rPh>
    <phoneticPr fontId="1"/>
  </si>
  <si>
    <r>
      <t>管路延長　　　　　　　　　　</t>
    </r>
    <r>
      <rPr>
        <sz val="11"/>
        <color theme="1"/>
        <rFont val="ＭＳ Ｐゴシック"/>
        <family val="3"/>
        <charset val="128"/>
        <scheme val="minor"/>
      </rPr>
      <t>(分岐から末端水栓までの経路上)</t>
    </r>
    <rPh sb="0" eb="2">
      <t>カンロ</t>
    </rPh>
    <rPh sb="2" eb="4">
      <t>エンチョウ</t>
    </rPh>
    <rPh sb="15" eb="17">
      <t>ブンキ</t>
    </rPh>
    <rPh sb="19" eb="21">
      <t>マッタン</t>
    </rPh>
    <rPh sb="21" eb="23">
      <t>スイセン</t>
    </rPh>
    <rPh sb="26" eb="28">
      <t>ケイロ</t>
    </rPh>
    <rPh sb="28" eb="29">
      <t>ジョウ</t>
    </rPh>
    <phoneticPr fontId="1"/>
  </si>
  <si>
    <t>流速</t>
    <rPh sb="0" eb="2">
      <t>リュウソク</t>
    </rPh>
    <phoneticPr fontId="1"/>
  </si>
  <si>
    <t>使用水量</t>
    <rPh sb="0" eb="2">
      <t>シヨウ</t>
    </rPh>
    <rPh sb="2" eb="4">
      <t>スイリョウ</t>
    </rPh>
    <phoneticPr fontId="1"/>
  </si>
  <si>
    <t>量水器</t>
    <rPh sb="0" eb="3">
      <t>リョウスイキ</t>
    </rPh>
    <phoneticPr fontId="1"/>
  </si>
  <si>
    <t>同時使用水栓</t>
    <rPh sb="0" eb="2">
      <t>ドウジ</t>
    </rPh>
    <rPh sb="2" eb="4">
      <t>シヨウ</t>
    </rPh>
    <rPh sb="4" eb="6">
      <t>スイセン</t>
    </rPh>
    <phoneticPr fontId="1"/>
  </si>
  <si>
    <t>管径</t>
    <rPh sb="0" eb="2">
      <t>カンケイ</t>
    </rPh>
    <phoneticPr fontId="1"/>
  </si>
  <si>
    <t>ヘッダー</t>
    <phoneticPr fontId="1"/>
  </si>
  <si>
    <t>階数</t>
    <rPh sb="0" eb="2">
      <t>カイスウ</t>
    </rPh>
    <phoneticPr fontId="1"/>
  </si>
  <si>
    <t>高さ</t>
    <rPh sb="0" eb="1">
      <t>タカ</t>
    </rPh>
    <phoneticPr fontId="1"/>
  </si>
  <si>
    <t>給水栓数</t>
    <rPh sb="0" eb="2">
      <t>キュウスイ</t>
    </rPh>
    <rPh sb="2" eb="3">
      <t>セン</t>
    </rPh>
    <rPh sb="3" eb="4">
      <t>スウ</t>
    </rPh>
    <phoneticPr fontId="1"/>
  </si>
  <si>
    <t>4栓同時使用</t>
    <rPh sb="1" eb="2">
      <t>セン</t>
    </rPh>
    <rPh sb="2" eb="4">
      <t>ドウジ</t>
    </rPh>
    <rPh sb="4" eb="6">
      <t>シヨウ</t>
    </rPh>
    <phoneticPr fontId="1"/>
  </si>
  <si>
    <t>5栓同時使用</t>
    <rPh sb="1" eb="2">
      <t>セン</t>
    </rPh>
    <rPh sb="2" eb="4">
      <t>ドウジ</t>
    </rPh>
    <rPh sb="4" eb="6">
      <t>シヨウ</t>
    </rPh>
    <phoneticPr fontId="1"/>
  </si>
  <si>
    <t>6栓同時使用</t>
    <rPh sb="1" eb="2">
      <t>セン</t>
    </rPh>
    <rPh sb="2" eb="4">
      <t>ドウジ</t>
    </rPh>
    <rPh sb="4" eb="6">
      <t>シヨウ</t>
    </rPh>
    <phoneticPr fontId="1"/>
  </si>
  <si>
    <t>7栓同時使用</t>
    <rPh sb="1" eb="2">
      <t>セン</t>
    </rPh>
    <rPh sb="2" eb="4">
      <t>ドウジ</t>
    </rPh>
    <rPh sb="4" eb="6">
      <t>シヨウ</t>
    </rPh>
    <phoneticPr fontId="1"/>
  </si>
  <si>
    <t>流速（m/s）</t>
    <rPh sb="0" eb="2">
      <t>リュウソク</t>
    </rPh>
    <phoneticPr fontId="1"/>
  </si>
  <si>
    <t>様邸</t>
    <rPh sb="0" eb="1">
      <t>サマ</t>
    </rPh>
    <rPh sb="1" eb="2">
      <t>ヤシキ</t>
    </rPh>
    <phoneticPr fontId="1"/>
  </si>
  <si>
    <t>前橋　花子</t>
    <rPh sb="0" eb="2">
      <t>マエバシ</t>
    </rPh>
    <rPh sb="3" eb="5">
      <t>ハナコ</t>
    </rPh>
    <phoneticPr fontId="1"/>
  </si>
  <si>
    <t>口径(mm)</t>
    <rPh sb="0" eb="2">
      <t>コウケイ</t>
    </rPh>
    <phoneticPr fontId="1"/>
  </si>
  <si>
    <t>損失水頭余裕分(係数分)</t>
    <rPh sb="0" eb="2">
      <t>ソンシツ</t>
    </rPh>
    <rPh sb="2" eb="4">
      <t>スイトウ</t>
    </rPh>
    <rPh sb="4" eb="6">
      <t>ヨユウ</t>
    </rPh>
    <rPh sb="6" eb="7">
      <t>ブン</t>
    </rPh>
    <rPh sb="8" eb="10">
      <t>ケイスウ</t>
    </rPh>
    <rPh sb="10" eb="11">
      <t>ブン</t>
    </rPh>
    <phoneticPr fontId="1"/>
  </si>
  <si>
    <t>・はじめに</t>
    <phoneticPr fontId="1"/>
  </si>
  <si>
    <t>　当ツールは「前橋市水道局水道整備課」が、水理計算を行う際の参考用資料として提供しているものであり、公的なものではありません。</t>
    <rPh sb="1" eb="2">
      <t>トウ</t>
    </rPh>
    <rPh sb="7" eb="10">
      <t>マエバシシ</t>
    </rPh>
    <rPh sb="10" eb="13">
      <t>スイドウキョク</t>
    </rPh>
    <rPh sb="13" eb="15">
      <t>スイドウ</t>
    </rPh>
    <rPh sb="15" eb="17">
      <t>セイビ</t>
    </rPh>
    <rPh sb="17" eb="18">
      <t>カ</t>
    </rPh>
    <rPh sb="21" eb="23">
      <t>スイリ</t>
    </rPh>
    <rPh sb="23" eb="25">
      <t>ケイサン</t>
    </rPh>
    <rPh sb="26" eb="27">
      <t>オコナ</t>
    </rPh>
    <rPh sb="28" eb="29">
      <t>サイ</t>
    </rPh>
    <rPh sb="30" eb="32">
      <t>サンコウ</t>
    </rPh>
    <rPh sb="32" eb="33">
      <t>ヨウ</t>
    </rPh>
    <rPh sb="33" eb="35">
      <t>シリョウ</t>
    </rPh>
    <rPh sb="38" eb="40">
      <t>テイキョウ</t>
    </rPh>
    <rPh sb="50" eb="52">
      <t>コウテキ</t>
    </rPh>
    <phoneticPr fontId="1"/>
  </si>
  <si>
    <t>　当ツール使用による算出不良や、パソコン等OA機器の故障やトラブルが発生した場合にも、水道局は一切の責任を負いませんので、あらかじめご了承ください。</t>
    <rPh sb="1" eb="2">
      <t>トウ</t>
    </rPh>
    <rPh sb="5" eb="7">
      <t>シヨウ</t>
    </rPh>
    <rPh sb="10" eb="12">
      <t>サンシュツ</t>
    </rPh>
    <rPh sb="12" eb="14">
      <t>フリョウ</t>
    </rPh>
    <rPh sb="20" eb="21">
      <t>トウ</t>
    </rPh>
    <rPh sb="23" eb="25">
      <t>キキ</t>
    </rPh>
    <rPh sb="26" eb="28">
      <t>コショウ</t>
    </rPh>
    <rPh sb="34" eb="36">
      <t>ハッセイ</t>
    </rPh>
    <rPh sb="38" eb="40">
      <t>バアイ</t>
    </rPh>
    <rPh sb="43" eb="46">
      <t>スイドウキョク</t>
    </rPh>
    <rPh sb="47" eb="49">
      <t>イッサイ</t>
    </rPh>
    <rPh sb="50" eb="52">
      <t>セキニン</t>
    </rPh>
    <rPh sb="53" eb="54">
      <t>オ</t>
    </rPh>
    <rPh sb="67" eb="69">
      <t>リョウショウ</t>
    </rPh>
    <phoneticPr fontId="1"/>
  </si>
  <si>
    <t>　なお、エクセルの基本操作等については、ご指導いたしかねます。</t>
    <rPh sb="9" eb="11">
      <t>キホン</t>
    </rPh>
    <rPh sb="11" eb="13">
      <t>ソウサ</t>
    </rPh>
    <rPh sb="13" eb="14">
      <t>トウ</t>
    </rPh>
    <rPh sb="21" eb="23">
      <t>シドウ</t>
    </rPh>
    <phoneticPr fontId="1"/>
  </si>
  <si>
    <t>・注意事項</t>
    <rPh sb="1" eb="3">
      <t>チュウイ</t>
    </rPh>
    <rPh sb="3" eb="5">
      <t>ジコウ</t>
    </rPh>
    <phoneticPr fontId="1"/>
  </si>
  <si>
    <t>・提供元</t>
    <rPh sb="1" eb="3">
      <t>テイキョウ</t>
    </rPh>
    <rPh sb="3" eb="4">
      <t>モト</t>
    </rPh>
    <phoneticPr fontId="1"/>
  </si>
  <si>
    <t>　前橋市水道局水道整備課　給水装置係</t>
    <rPh sb="1" eb="4">
      <t>マエバシシ</t>
    </rPh>
    <rPh sb="4" eb="7">
      <t>スイドウキョク</t>
    </rPh>
    <rPh sb="7" eb="9">
      <t>スイドウ</t>
    </rPh>
    <rPh sb="9" eb="11">
      <t>セイビ</t>
    </rPh>
    <rPh sb="11" eb="12">
      <t>カ</t>
    </rPh>
    <rPh sb="13" eb="15">
      <t>キュウスイ</t>
    </rPh>
    <rPh sb="15" eb="17">
      <t>ソウチ</t>
    </rPh>
    <rPh sb="17" eb="18">
      <t>カカリ</t>
    </rPh>
    <phoneticPr fontId="1"/>
  </si>
  <si>
    <t>　電話027-898-3043</t>
    <rPh sb="1" eb="3">
      <t>デンワ</t>
    </rPh>
    <phoneticPr fontId="1"/>
  </si>
  <si>
    <t>　当ツールを、前橋市水道局以外への協議や提出資料として使用する際は自己責任において利用するものとし、問題が発生した場合にも、水道局は一切の責任を負いません。</t>
    <rPh sb="1" eb="2">
      <t>トウ</t>
    </rPh>
    <rPh sb="7" eb="10">
      <t>マエバシシ</t>
    </rPh>
    <rPh sb="10" eb="13">
      <t>スイドウキョク</t>
    </rPh>
    <rPh sb="13" eb="15">
      <t>イガイ</t>
    </rPh>
    <rPh sb="17" eb="19">
      <t>キョウギ</t>
    </rPh>
    <rPh sb="20" eb="22">
      <t>テイシュツ</t>
    </rPh>
    <rPh sb="22" eb="24">
      <t>シリョウ</t>
    </rPh>
    <rPh sb="27" eb="29">
      <t>シヨウ</t>
    </rPh>
    <rPh sb="31" eb="32">
      <t>サイ</t>
    </rPh>
    <rPh sb="33" eb="35">
      <t>ジコ</t>
    </rPh>
    <rPh sb="35" eb="37">
      <t>セキニン</t>
    </rPh>
    <rPh sb="41" eb="43">
      <t>リヨウ</t>
    </rPh>
    <rPh sb="50" eb="52">
      <t>モンダイ</t>
    </rPh>
    <rPh sb="53" eb="55">
      <t>ハッセイ</t>
    </rPh>
    <rPh sb="57" eb="59">
      <t>バアイ</t>
    </rPh>
    <rPh sb="62" eb="65">
      <t>スイドウキョク</t>
    </rPh>
    <rPh sb="66" eb="68">
      <t>イッサイ</t>
    </rPh>
    <rPh sb="69" eb="71">
      <t>セキニン</t>
    </rPh>
    <rPh sb="72" eb="73">
      <t>オ</t>
    </rPh>
    <phoneticPr fontId="1"/>
  </si>
  <si>
    <t>　当ツールを利用した資料の提出にあたっては、入力内容および算出結果の確認をしっかりと行ってください。</t>
    <phoneticPr fontId="1"/>
  </si>
  <si>
    <t>更新履歴</t>
    <rPh sb="0" eb="2">
      <t>コウシン</t>
    </rPh>
    <rPh sb="2" eb="4">
      <t>リレキ</t>
    </rPh>
    <phoneticPr fontId="1"/>
  </si>
  <si>
    <t>更新日</t>
    <rPh sb="0" eb="3">
      <t>コウシンビ</t>
    </rPh>
    <phoneticPr fontId="1"/>
  </si>
  <si>
    <t>No</t>
    <phoneticPr fontId="1"/>
  </si>
  <si>
    <t>更新内容</t>
    <rPh sb="0" eb="2">
      <t>コウシン</t>
    </rPh>
    <rPh sb="2" eb="4">
      <t>ナイヨウ</t>
    </rPh>
    <phoneticPr fontId="1"/>
  </si>
  <si>
    <t>更新履歴の作成</t>
    <rPh sb="0" eb="2">
      <t>コウシン</t>
    </rPh>
    <rPh sb="2" eb="4">
      <t>リレキ</t>
    </rPh>
    <rPh sb="5" eb="7">
      <t>サクセイ</t>
    </rPh>
    <phoneticPr fontId="1"/>
  </si>
  <si>
    <t>合計</t>
    <rPh sb="0" eb="2">
      <t>ゴウケイ</t>
    </rPh>
    <phoneticPr fontId="1"/>
  </si>
  <si>
    <t>水栓</t>
    <rPh sb="0" eb="2">
      <t>スイセン</t>
    </rPh>
    <phoneticPr fontId="1"/>
  </si>
  <si>
    <t>水量（L/min）</t>
    <rPh sb="0" eb="2">
      <t>スイリョウ</t>
    </rPh>
    <phoneticPr fontId="1"/>
  </si>
  <si>
    <t>【使用水量の設定】</t>
    <rPh sb="1" eb="3">
      <t>シヨウ</t>
    </rPh>
    <rPh sb="3" eb="5">
      <t>スイリョウ</t>
    </rPh>
    <rPh sb="6" eb="8">
      <t>セッテイ</t>
    </rPh>
    <phoneticPr fontId="1"/>
  </si>
  <si>
    <t>工事事業者：　　　　</t>
    <rPh sb="0" eb="2">
      <t>コウジ</t>
    </rPh>
    <rPh sb="2" eb="5">
      <t>ジギョウシャ</t>
    </rPh>
    <phoneticPr fontId="1"/>
  </si>
  <si>
    <t>工事事業者：</t>
    <rPh sb="0" eb="2">
      <t>コウジ</t>
    </rPh>
    <rPh sb="2" eb="5">
      <t>ジギョウシャ</t>
    </rPh>
    <phoneticPr fontId="1"/>
  </si>
  <si>
    <t>　当ツールは簡易版水理計算として、入力用紙①については一栓あたりの使用水量を12L/minで設定しています。</t>
    <rPh sb="1" eb="2">
      <t>トウ</t>
    </rPh>
    <rPh sb="6" eb="9">
      <t>カンイバン</t>
    </rPh>
    <rPh sb="9" eb="11">
      <t>スイリ</t>
    </rPh>
    <rPh sb="11" eb="13">
      <t>ケイサン</t>
    </rPh>
    <rPh sb="17" eb="19">
      <t>ニュウリョク</t>
    </rPh>
    <rPh sb="19" eb="21">
      <t>ヨウシ</t>
    </rPh>
    <rPh sb="27" eb="28">
      <t>イチ</t>
    </rPh>
    <rPh sb="28" eb="29">
      <t>セン</t>
    </rPh>
    <rPh sb="33" eb="35">
      <t>シヨウ</t>
    </rPh>
    <rPh sb="35" eb="37">
      <t>スイリョウ</t>
    </rPh>
    <rPh sb="46" eb="48">
      <t>セッテイ</t>
    </rPh>
    <phoneticPr fontId="1"/>
  </si>
  <si>
    <t>　そのため１栓あたりの使用水量が１２L/minを超える物件や、簡易版によらない充分な精度をもった水理計算が必要とされる施設においては、入力用紙①の利用は避けてください。</t>
    <rPh sb="31" eb="34">
      <t>カンイバン</t>
    </rPh>
    <rPh sb="39" eb="41">
      <t>ジュウブン</t>
    </rPh>
    <rPh sb="42" eb="44">
      <t>セイド</t>
    </rPh>
    <rPh sb="48" eb="50">
      <t>スイリ</t>
    </rPh>
    <rPh sb="50" eb="52">
      <t>ケイサン</t>
    </rPh>
    <rPh sb="53" eb="55">
      <t>ヒツヨウ</t>
    </rPh>
    <rPh sb="59" eb="61">
      <t>シセツ</t>
    </rPh>
    <rPh sb="67" eb="69">
      <t>ニュウリョク</t>
    </rPh>
    <rPh sb="69" eb="71">
      <t>ヨウシ</t>
    </rPh>
    <phoneticPr fontId="1"/>
  </si>
  <si>
    <t>　同時使用を想定している水栓に関して、使用水量（L /min）の値が資料等で確認できている場合については、入力用紙②を利用し計算を行ってください。</t>
    <rPh sb="1" eb="3">
      <t>ドウジ</t>
    </rPh>
    <rPh sb="3" eb="5">
      <t>シヨウ</t>
    </rPh>
    <rPh sb="6" eb="8">
      <t>ソウテイ</t>
    </rPh>
    <rPh sb="12" eb="14">
      <t>スイセン</t>
    </rPh>
    <rPh sb="15" eb="16">
      <t>カン</t>
    </rPh>
    <rPh sb="19" eb="21">
      <t>シヨウ</t>
    </rPh>
    <rPh sb="21" eb="23">
      <t>スイリョウ</t>
    </rPh>
    <rPh sb="32" eb="33">
      <t>アタイ</t>
    </rPh>
    <rPh sb="34" eb="36">
      <t>シリョウ</t>
    </rPh>
    <rPh sb="36" eb="37">
      <t>トウ</t>
    </rPh>
    <rPh sb="38" eb="40">
      <t>カクニン</t>
    </rPh>
    <rPh sb="45" eb="47">
      <t>バアイ</t>
    </rPh>
    <rPh sb="53" eb="55">
      <t>ニュウリョク</t>
    </rPh>
    <rPh sb="55" eb="57">
      <t>ヨウシ</t>
    </rPh>
    <rPh sb="59" eb="61">
      <t>リヨウ</t>
    </rPh>
    <rPh sb="62" eb="64">
      <t>ケイサン</t>
    </rPh>
    <rPh sb="65" eb="66">
      <t>オコナ</t>
    </rPh>
    <phoneticPr fontId="1"/>
  </si>
  <si>
    <t>入力用紙②の作成</t>
    <rPh sb="0" eb="2">
      <t>ニュウリョク</t>
    </rPh>
    <rPh sb="2" eb="4">
      <t>ヨウシ</t>
    </rPh>
    <rPh sb="6" eb="8">
      <t>サクセイ</t>
    </rPh>
    <phoneticPr fontId="1"/>
  </si>
  <si>
    <t>更新日　2019/9/1</t>
    <phoneticPr fontId="1"/>
  </si>
  <si>
    <t>※一栓当たり使用水量12L/minの想定</t>
    <rPh sb="1" eb="2">
      <t>イチ</t>
    </rPh>
    <rPh sb="2" eb="3">
      <t>セン</t>
    </rPh>
    <rPh sb="3" eb="4">
      <t>ア</t>
    </rPh>
    <rPh sb="6" eb="8">
      <t>シヨウ</t>
    </rPh>
    <rPh sb="8" eb="10">
      <t>スイリョウ</t>
    </rPh>
    <rPh sb="18" eb="20">
      <t>ソウテイ</t>
    </rPh>
    <phoneticPr fontId="1"/>
  </si>
  <si>
    <t>工事事業者：〇△□設備</t>
    <rPh sb="0" eb="2">
      <t>コウジ</t>
    </rPh>
    <rPh sb="2" eb="5">
      <t>ジギョウシャ</t>
    </rPh>
    <rPh sb="9" eb="11">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</si>
</sst>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0_ "/>
    <numFmt numFmtId="177" formatCode="0.000_ "/>
    <numFmt numFmtId="178" formatCode="0.00_ "/>
    <numFmt numFmtId="179" formatCode="0.000_);[Red]\(0.000\)"/>
    <numFmt numFmtId="180" formatCode="0_ &quot;㎜&quot;&quot;の&quot;&quot;延&quot;&quot;長&quot;"/>
    <numFmt numFmtId="181" formatCode="0_);[Red]\(0\)"/>
    <numFmt numFmtId="182" formatCode="#"/>
    <numFmt numFmtId="183" formatCode="0.0_ "/>
  </numFmts>
  <fonts count="1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1"/>
      <color theme="0"/>
      <name val="ＭＳ Ｐゴシック"/>
      <family val="2"/>
      <charset val="128"/>
      <scheme val="minor"/>
    </font>
    <font>
      <i/>
      <sz val="11"/>
      <color rgb="FF7F7F7F"/>
      <name val="ＭＳ Ｐゴシック"/>
      <family val="2"/>
      <charset val="128"/>
      <scheme val="minor"/>
    </font>
    <font>
      <i/>
      <sz val="11"/>
      <color theme="1"/>
      <name val="ＭＳ Ｐゴシック"/>
      <family val="3"/>
      <charset val="128"/>
      <scheme val="minor"/>
    </font>
    <font>
      <sz val="9"/>
      <color indexed="81"/>
      <name val="MS P ゴシック"/>
      <family val="3"/>
      <charset val="128"/>
    </font>
    <font>
      <b/>
      <sz val="9"/>
      <color indexed="81"/>
      <name val="MS P ゴシック"/>
      <family val="3"/>
      <charset val="128"/>
    </font>
    <font>
      <b/>
      <u/>
      <sz val="14"/>
      <color theme="1"/>
      <name val="ＭＳ Ｐゴシック"/>
      <family val="3"/>
      <charset val="128"/>
      <scheme val="minor"/>
    </font>
    <font>
      <sz val="14"/>
      <color theme="1"/>
      <name val="ＭＳ Ｐゴシック"/>
      <family val="2"/>
      <charset val="128"/>
      <scheme val="minor"/>
    </font>
    <font>
      <b/>
      <u/>
      <sz val="12"/>
      <color theme="1"/>
      <name val="ＭＳ Ｐゴシック"/>
      <family val="3"/>
      <charset val="128"/>
      <scheme val="minor"/>
    </font>
    <font>
      <i/>
      <sz val="11"/>
      <color rgb="FFFF0000"/>
      <name val="ＭＳ Ｐゴシック"/>
      <family val="2"/>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rgb="FFA5A5A5"/>
      </patternFill>
    </fill>
    <fill>
      <patternFill patternType="solid">
        <fgColor them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tint="-4.9989318521683403E-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double">
        <color auto="1"/>
      </left>
      <right style="double">
        <color auto="1"/>
      </right>
      <top style="double">
        <color auto="1"/>
      </top>
      <bottom style="double">
        <color auto="1"/>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top style="hair">
        <color indexed="64"/>
      </top>
      <bottom/>
      <diagonal/>
    </border>
    <border>
      <left style="double">
        <color rgb="FF3F3F3F"/>
      </left>
      <right/>
      <top style="double">
        <color rgb="FF3F3F3F"/>
      </top>
      <bottom/>
      <diagonal/>
    </border>
    <border>
      <left/>
      <right style="double">
        <color rgb="FF3F3F3F"/>
      </right>
      <top style="double">
        <color rgb="FF3F3F3F"/>
      </top>
      <bottom/>
      <diagonal/>
    </border>
    <border>
      <left style="double">
        <color rgb="FF3F3F3F"/>
      </left>
      <right/>
      <top/>
      <bottom style="double">
        <color rgb="FF3F3F3F"/>
      </bottom>
      <diagonal/>
    </border>
    <border>
      <left/>
      <right style="double">
        <color rgb="FF3F3F3F"/>
      </right>
      <top/>
      <bottom style="double">
        <color rgb="FF3F3F3F"/>
      </bottom>
      <diagonal/>
    </border>
    <border>
      <left style="double">
        <color auto="1"/>
      </left>
      <right style="double">
        <color auto="1"/>
      </right>
      <top/>
      <bottom style="double">
        <color auto="1"/>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right/>
      <top style="medium">
        <color indexed="64"/>
      </top>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diagonal/>
    </border>
    <border>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double">
        <color rgb="FF3F3F3F"/>
      </top>
      <bottom/>
      <diagonal/>
    </border>
    <border>
      <left/>
      <right/>
      <top/>
      <bottom style="double">
        <color rgb="FF3F3F3F"/>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s>
  <cellStyleXfs count="3">
    <xf numFmtId="0" fontId="0" fillId="0" borderId="0">
      <alignment vertical="center"/>
    </xf>
    <xf numFmtId="0" fontId="4" fillId="4" borderId="17" applyNumberFormat="0" applyAlignment="0" applyProtection="0">
      <alignment vertical="center"/>
    </xf>
    <xf numFmtId="0" fontId="5" fillId="0" borderId="0" applyNumberFormat="0" applyFill="0" applyBorder="0" applyAlignment="0" applyProtection="0">
      <alignment vertical="center"/>
    </xf>
  </cellStyleXfs>
  <cellXfs count="223">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0" xfId="0" applyFill="1">
      <alignment vertical="center"/>
    </xf>
    <xf numFmtId="0" fontId="0" fillId="0" borderId="0" xfId="0" applyAlignment="1">
      <alignment vertical="center"/>
    </xf>
    <xf numFmtId="0" fontId="0" fillId="0" borderId="11" xfId="0" applyFill="1" applyBorder="1" applyAlignment="1">
      <alignment horizontal="right" vertical="center"/>
    </xf>
    <xf numFmtId="0" fontId="0" fillId="0" borderId="12" xfId="0" applyBorder="1">
      <alignment vertical="center"/>
    </xf>
    <xf numFmtId="0" fontId="0" fillId="0" borderId="14" xfId="0" applyFill="1" applyBorder="1" applyAlignment="1">
      <alignment horizontal="right" vertical="center"/>
    </xf>
    <xf numFmtId="0" fontId="0" fillId="0" borderId="15"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0" fillId="5" borderId="0" xfId="0" applyFill="1">
      <alignment vertical="center"/>
    </xf>
    <xf numFmtId="0" fontId="0" fillId="0" borderId="0" xfId="0" applyAlignment="1">
      <alignment vertical="center" shrinkToFit="1"/>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3" fillId="0" borderId="0" xfId="0" applyFont="1" applyFill="1" applyBorder="1" applyAlignment="1">
      <alignment vertical="center" wrapText="1" shrinkToFit="1"/>
    </xf>
    <xf numFmtId="0" fontId="5" fillId="0" borderId="0" xfId="2" applyBorder="1" applyAlignment="1">
      <alignment horizontal="right" vertical="center"/>
    </xf>
    <xf numFmtId="0" fontId="5" fillId="0" borderId="0" xfId="2" applyBorder="1">
      <alignment vertical="center"/>
    </xf>
    <xf numFmtId="178" fontId="0" fillId="0" borderId="0" xfId="0" applyNumberFormat="1">
      <alignment vertical="center"/>
    </xf>
    <xf numFmtId="178" fontId="0" fillId="0" borderId="1" xfId="0" applyNumberFormat="1" applyBorder="1">
      <alignment vertical="center"/>
    </xf>
    <xf numFmtId="176" fontId="0" fillId="0" borderId="7" xfId="0" applyNumberFormat="1" applyBorder="1">
      <alignment vertical="center"/>
    </xf>
    <xf numFmtId="179" fontId="0" fillId="0" borderId="10" xfId="0" applyNumberFormat="1" applyBorder="1">
      <alignment vertical="center"/>
    </xf>
    <xf numFmtId="179" fontId="0" fillId="0" borderId="10" xfId="0" applyNumberFormat="1" applyFill="1" applyBorder="1">
      <alignment vertical="center"/>
    </xf>
    <xf numFmtId="0" fontId="0" fillId="0" borderId="0" xfId="0" applyFill="1" applyBorder="1" applyAlignment="1">
      <alignment horizontal="center" vertical="center" shrinkToFit="1"/>
    </xf>
    <xf numFmtId="181" fontId="0" fillId="5" borderId="0" xfId="0" applyNumberFormat="1" applyFill="1" applyAlignment="1">
      <alignment vertical="center"/>
    </xf>
    <xf numFmtId="181" fontId="0" fillId="0" borderId="0" xfId="0" applyNumberFormat="1">
      <alignment vertical="center"/>
    </xf>
    <xf numFmtId="0" fontId="0" fillId="0" borderId="23" xfId="0" applyBorder="1">
      <alignment vertical="center"/>
    </xf>
    <xf numFmtId="182" fontId="0" fillId="0" borderId="13" xfId="0" applyNumberFormat="1" applyFill="1" applyBorder="1" applyAlignment="1">
      <alignment horizontal="center" vertical="center"/>
    </xf>
    <xf numFmtId="0" fontId="0" fillId="0" borderId="22" xfId="0" applyFill="1" applyBorder="1" applyAlignment="1">
      <alignment horizontal="right" vertical="center"/>
    </xf>
    <xf numFmtId="0" fontId="4" fillId="4" borderId="24" xfId="1" applyBorder="1">
      <alignment vertical="center"/>
    </xf>
    <xf numFmtId="0" fontId="4" fillId="4" borderId="25" xfId="1" applyBorder="1" applyAlignment="1">
      <alignment horizontal="center" vertical="center"/>
    </xf>
    <xf numFmtId="177" fontId="4" fillId="4" borderId="26" xfId="1" applyNumberFormat="1" applyBorder="1" applyAlignment="1">
      <alignment vertical="center"/>
    </xf>
    <xf numFmtId="179" fontId="0" fillId="0" borderId="0" xfId="0" applyNumberFormat="1" applyBorder="1">
      <alignment vertical="center"/>
    </xf>
    <xf numFmtId="0" fontId="6" fillId="0" borderId="11" xfId="0" applyFont="1" applyFill="1" applyBorder="1" applyAlignment="1">
      <alignment vertical="center"/>
    </xf>
    <xf numFmtId="0" fontId="6" fillId="0" borderId="14" xfId="0" applyFont="1" applyFill="1" applyBorder="1" applyAlignment="1">
      <alignment vertical="center"/>
    </xf>
    <xf numFmtId="0" fontId="6" fillId="0" borderId="9" xfId="0" applyFont="1" applyFill="1" applyBorder="1" applyAlignment="1">
      <alignment vertical="center"/>
    </xf>
    <xf numFmtId="0" fontId="6" fillId="0" borderId="6" xfId="0" applyFont="1" applyFill="1" applyBorder="1" applyAlignment="1">
      <alignment vertical="center"/>
    </xf>
    <xf numFmtId="0" fontId="6" fillId="0" borderId="20" xfId="0" applyFont="1" applyFill="1" applyBorder="1" applyAlignment="1">
      <alignment vertical="center"/>
    </xf>
    <xf numFmtId="177" fontId="0" fillId="3" borderId="8" xfId="0" applyNumberFormat="1" applyFill="1" applyBorder="1">
      <alignment vertical="center"/>
    </xf>
    <xf numFmtId="179" fontId="0" fillId="0" borderId="11" xfId="0" applyNumberFormat="1" applyFill="1" applyBorder="1">
      <alignment vertical="center"/>
    </xf>
    <xf numFmtId="179" fontId="0" fillId="0" borderId="13" xfId="0" applyNumberFormat="1" applyFill="1" applyBorder="1">
      <alignment vertical="center"/>
    </xf>
    <xf numFmtId="179" fontId="0" fillId="0" borderId="16" xfId="0" applyNumberFormat="1" applyFill="1" applyBorder="1">
      <alignment vertical="center"/>
    </xf>
    <xf numFmtId="179" fontId="0" fillId="0" borderId="22" xfId="0" applyNumberFormat="1" applyFill="1" applyBorder="1">
      <alignment vertical="center"/>
    </xf>
    <xf numFmtId="179" fontId="0" fillId="0" borderId="21" xfId="0" applyNumberFormat="1" applyFill="1" applyBorder="1">
      <alignment vertical="center"/>
    </xf>
    <xf numFmtId="179" fontId="0" fillId="0" borderId="20" xfId="0" applyNumberFormat="1" applyFill="1" applyBorder="1">
      <alignment vertical="center"/>
    </xf>
    <xf numFmtId="179" fontId="0" fillId="0" borderId="18" xfId="0" applyNumberFormat="1" applyFill="1" applyBorder="1">
      <alignment vertical="center"/>
    </xf>
    <xf numFmtId="179" fontId="0" fillId="0" borderId="19" xfId="0" applyNumberFormat="1" applyFill="1" applyBorder="1">
      <alignment vertical="center"/>
    </xf>
    <xf numFmtId="179" fontId="0" fillId="0" borderId="27" xfId="0" applyNumberFormat="1" applyFill="1" applyBorder="1">
      <alignment vertical="center"/>
    </xf>
    <xf numFmtId="0" fontId="0" fillId="7" borderId="1" xfId="0" applyFill="1" applyBorder="1">
      <alignment vertical="center"/>
    </xf>
    <xf numFmtId="0" fontId="0" fillId="0" borderId="0" xfId="0" applyFill="1" applyAlignment="1">
      <alignment horizontal="center" vertical="center"/>
    </xf>
    <xf numFmtId="0" fontId="6" fillId="0" borderId="9" xfId="0" applyFont="1" applyFill="1" applyBorder="1" applyAlignment="1">
      <alignment horizontal="center" vertical="center"/>
    </xf>
    <xf numFmtId="0" fontId="6" fillId="2" borderId="3" xfId="0" applyFont="1" applyFill="1" applyBorder="1" applyAlignment="1">
      <alignment horizontal="center" vertical="center"/>
    </xf>
    <xf numFmtId="0" fontId="5" fillId="6" borderId="0" xfId="2" applyFill="1" applyBorder="1" applyAlignment="1">
      <alignment horizontal="center" vertical="center"/>
    </xf>
    <xf numFmtId="0" fontId="0" fillId="0" borderId="0" xfId="0" applyFill="1" applyBorder="1" applyAlignment="1">
      <alignment horizontal="center" vertical="center"/>
    </xf>
    <xf numFmtId="177" fontId="4" fillId="4" borderId="26" xfId="1" applyNumberFormat="1" applyBorder="1" applyAlignment="1">
      <alignment horizontal="right" vertical="center"/>
    </xf>
    <xf numFmtId="0" fontId="9" fillId="0" borderId="0" xfId="0" applyFont="1" applyAlignment="1">
      <alignment horizontal="right" vertical="center"/>
    </xf>
    <xf numFmtId="0" fontId="10" fillId="0" borderId="0" xfId="0" applyFont="1">
      <alignment vertical="center"/>
    </xf>
    <xf numFmtId="0" fontId="4" fillId="4" borderId="25" xfId="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xf>
    <xf numFmtId="177" fontId="0" fillId="3" borderId="32" xfId="0" applyNumberFormat="1" applyFill="1" applyBorder="1" applyAlignment="1">
      <alignment vertical="center"/>
    </xf>
    <xf numFmtId="179" fontId="0" fillId="0" borderId="18" xfId="0" applyNumberFormat="1" applyBorder="1">
      <alignment vertical="center"/>
    </xf>
    <xf numFmtId="179" fontId="0" fillId="0" borderId="33" xfId="0" applyNumberFormat="1" applyFill="1" applyBorder="1">
      <alignment vertical="center"/>
    </xf>
    <xf numFmtId="0" fontId="0" fillId="0" borderId="34" xfId="0" applyFont="1" applyFill="1" applyBorder="1" applyAlignment="1">
      <alignment horizontal="left" vertical="center" wrapText="1"/>
    </xf>
    <xf numFmtId="0" fontId="6" fillId="2" borderId="35" xfId="0" applyFont="1" applyFill="1" applyBorder="1" applyAlignment="1">
      <alignment horizontal="center" vertical="center"/>
    </xf>
    <xf numFmtId="0" fontId="0" fillId="0" borderId="36" xfId="0" applyBorder="1">
      <alignment vertical="center"/>
    </xf>
    <xf numFmtId="180" fontId="0" fillId="0" borderId="37" xfId="0" applyNumberFormat="1" applyFill="1" applyBorder="1" applyAlignment="1">
      <alignment horizontal="center" vertical="center"/>
    </xf>
    <xf numFmtId="0" fontId="0" fillId="0" borderId="38" xfId="0" applyBorder="1">
      <alignment vertical="center"/>
    </xf>
    <xf numFmtId="0" fontId="0" fillId="0" borderId="39" xfId="0" applyFill="1" applyBorder="1" applyAlignment="1">
      <alignment horizontal="right" vertical="center"/>
    </xf>
    <xf numFmtId="0" fontId="0" fillId="0" borderId="40" xfId="0" applyBorder="1">
      <alignment vertical="center"/>
    </xf>
    <xf numFmtId="0" fontId="0" fillId="0" borderId="41" xfId="0" applyFill="1" applyBorder="1" applyAlignment="1">
      <alignment horizontal="right" vertical="center"/>
    </xf>
    <xf numFmtId="0" fontId="0" fillId="0" borderId="42" xfId="0" applyBorder="1">
      <alignment vertical="center"/>
    </xf>
    <xf numFmtId="0" fontId="0" fillId="0" borderId="43" xfId="0" applyFill="1" applyBorder="1" applyAlignment="1">
      <alignment horizontal="right" vertical="center"/>
    </xf>
    <xf numFmtId="0" fontId="0" fillId="0" borderId="45" xfId="0" applyBorder="1">
      <alignment vertical="center"/>
    </xf>
    <xf numFmtId="0" fontId="0" fillId="0" borderId="34" xfId="0" applyBorder="1" applyAlignment="1">
      <alignment horizontal="center" vertical="center"/>
    </xf>
    <xf numFmtId="0" fontId="6" fillId="2" borderId="46" xfId="0" applyFont="1" applyFill="1" applyBorder="1" applyAlignment="1">
      <alignment horizontal="center" vertical="center"/>
    </xf>
    <xf numFmtId="0" fontId="0" fillId="0" borderId="47" xfId="0" applyBorder="1">
      <alignment vertical="center"/>
    </xf>
    <xf numFmtId="0" fontId="0" fillId="0" borderId="48" xfId="0" applyBorder="1" applyAlignment="1">
      <alignment horizontal="center" vertical="center"/>
    </xf>
    <xf numFmtId="0" fontId="0" fillId="0" borderId="49" xfId="0" applyBorder="1">
      <alignment vertical="center"/>
    </xf>
    <xf numFmtId="0" fontId="0" fillId="0" borderId="50" xfId="0" applyBorder="1" applyAlignment="1">
      <alignment horizontal="center" vertical="center"/>
    </xf>
    <xf numFmtId="0" fontId="6" fillId="2" borderId="51" xfId="0" applyFont="1" applyFill="1" applyBorder="1" applyAlignment="1">
      <alignment horizontal="center" vertical="center"/>
    </xf>
    <xf numFmtId="0" fontId="0" fillId="0" borderId="52" xfId="0" applyBorder="1">
      <alignment vertical="center"/>
    </xf>
    <xf numFmtId="176" fontId="0" fillId="0" borderId="3" xfId="0" applyNumberFormat="1" applyBorder="1" applyAlignment="1">
      <alignment horizontal="center" vertical="center"/>
    </xf>
    <xf numFmtId="0" fontId="0" fillId="0" borderId="34" xfId="0" applyBorder="1" applyAlignment="1">
      <alignment vertical="center" wrapText="1" shrinkToFit="1"/>
    </xf>
    <xf numFmtId="0" fontId="0" fillId="0" borderId="53" xfId="0" applyBorder="1" applyAlignment="1">
      <alignment horizontal="center" vertical="center"/>
    </xf>
    <xf numFmtId="0" fontId="0" fillId="0" borderId="54" xfId="0" applyBorder="1" applyAlignment="1">
      <alignment horizontal="center" vertical="center" wrapText="1" shrinkToFit="1"/>
    </xf>
    <xf numFmtId="0" fontId="6" fillId="2" borderId="37" xfId="0" applyFont="1" applyFill="1" applyBorder="1" applyAlignment="1">
      <alignment vertical="center" wrapText="1" shrinkToFit="1"/>
    </xf>
    <xf numFmtId="0" fontId="6" fillId="2" borderId="55" xfId="0" applyFont="1" applyFill="1" applyBorder="1" applyAlignment="1">
      <alignment horizontal="center" vertical="center"/>
    </xf>
    <xf numFmtId="0" fontId="6" fillId="2" borderId="39" xfId="0" applyFont="1" applyFill="1" applyBorder="1" applyAlignment="1">
      <alignment vertical="center" wrapText="1" shrinkToFit="1"/>
    </xf>
    <xf numFmtId="0" fontId="6" fillId="2" borderId="56" xfId="0" applyFont="1" applyFill="1" applyBorder="1" applyAlignment="1">
      <alignment horizontal="center" vertical="center"/>
    </xf>
    <xf numFmtId="0" fontId="0" fillId="0" borderId="39" xfId="0" applyFill="1" applyBorder="1" applyAlignment="1">
      <alignment vertical="center" wrapText="1" shrinkToFit="1"/>
    </xf>
    <xf numFmtId="0" fontId="0" fillId="0" borderId="56" xfId="0" applyFill="1" applyBorder="1" applyAlignment="1">
      <alignment horizontal="center" vertical="center"/>
    </xf>
    <xf numFmtId="0" fontId="0" fillId="0" borderId="43" xfId="0" applyFill="1" applyBorder="1" applyAlignment="1">
      <alignment vertical="center" wrapText="1" shrinkToFit="1"/>
    </xf>
    <xf numFmtId="0" fontId="6" fillId="2" borderId="57" xfId="0" applyFont="1" applyFill="1" applyBorder="1" applyAlignment="1">
      <alignment horizontal="center" vertical="center"/>
    </xf>
    <xf numFmtId="0" fontId="0" fillId="0" borderId="58" xfId="0"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6" fillId="2" borderId="64" xfId="0" applyFont="1" applyFill="1" applyBorder="1" applyAlignment="1">
      <alignment horizontal="center" vertical="center"/>
    </xf>
    <xf numFmtId="0" fontId="0" fillId="0" borderId="65" xfId="0" applyBorder="1" applyAlignment="1">
      <alignment horizontal="right" vertical="center"/>
    </xf>
    <xf numFmtId="0" fontId="0" fillId="0" borderId="48" xfId="0" applyFill="1" applyBorder="1" applyAlignment="1">
      <alignment horizontal="center" vertical="center"/>
    </xf>
    <xf numFmtId="0" fontId="0" fillId="0" borderId="50" xfId="0" applyFill="1" applyBorder="1" applyAlignment="1">
      <alignment horizontal="center" vertical="center"/>
    </xf>
    <xf numFmtId="0" fontId="6" fillId="2" borderId="7" xfId="0" applyFont="1" applyFill="1" applyBorder="1" applyAlignment="1">
      <alignment horizontal="center" vertical="center"/>
    </xf>
    <xf numFmtId="0" fontId="0" fillId="0" borderId="65" xfId="0" applyFill="1" applyBorder="1" applyAlignment="1">
      <alignment horizontal="center" vertical="center"/>
    </xf>
    <xf numFmtId="0" fontId="0" fillId="0" borderId="65" xfId="0" applyBorder="1">
      <alignment vertical="center"/>
    </xf>
    <xf numFmtId="0" fontId="9" fillId="2" borderId="0" xfId="0" applyFont="1" applyFill="1" applyAlignment="1">
      <alignment horizontal="right" vertical="center"/>
    </xf>
    <xf numFmtId="0" fontId="6" fillId="2" borderId="66" xfId="0" applyFont="1" applyFill="1" applyBorder="1" applyAlignment="1">
      <alignment vertical="center" wrapText="1" shrinkToFit="1"/>
    </xf>
    <xf numFmtId="0" fontId="6" fillId="2" borderId="21"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vertical="center"/>
    </xf>
    <xf numFmtId="0" fontId="6" fillId="2" borderId="14" xfId="0" applyFont="1" applyFill="1" applyBorder="1" applyAlignment="1">
      <alignment vertical="center"/>
    </xf>
    <xf numFmtId="0" fontId="6" fillId="2" borderId="6" xfId="0" applyFont="1" applyFill="1" applyBorder="1" applyAlignment="1">
      <alignment vertical="center"/>
    </xf>
    <xf numFmtId="0" fontId="6" fillId="2" borderId="44" xfId="0" applyFont="1" applyFill="1" applyBorder="1" applyAlignment="1">
      <alignment vertical="center"/>
    </xf>
    <xf numFmtId="0" fontId="6" fillId="2" borderId="9" xfId="0" applyFont="1" applyFill="1" applyBorder="1" applyAlignment="1">
      <alignment vertical="center"/>
    </xf>
    <xf numFmtId="0" fontId="0" fillId="2" borderId="4" xfId="0" applyFill="1" applyBorder="1">
      <alignment vertical="center"/>
    </xf>
    <xf numFmtId="0" fontId="0" fillId="0" borderId="61" xfId="0" applyBorder="1" applyAlignment="1">
      <alignment vertical="center" shrinkToFit="1"/>
    </xf>
    <xf numFmtId="0" fontId="0" fillId="0" borderId="36" xfId="0" applyBorder="1" applyAlignment="1">
      <alignment vertical="center" shrinkToFit="1"/>
    </xf>
    <xf numFmtId="0" fontId="0" fillId="0" borderId="48" xfId="0" applyBorder="1">
      <alignment vertical="center"/>
    </xf>
    <xf numFmtId="0" fontId="0" fillId="2" borderId="60" xfId="0" applyFill="1" applyBorder="1">
      <alignment vertical="center"/>
    </xf>
    <xf numFmtId="0" fontId="0" fillId="0" borderId="50" xfId="0" applyBorder="1">
      <alignment vertical="center"/>
    </xf>
    <xf numFmtId="0" fontId="0" fillId="2" borderId="59" xfId="0" applyFill="1" applyBorder="1">
      <alignment vertical="center"/>
    </xf>
    <xf numFmtId="0" fontId="0" fillId="0" borderId="68" xfId="0" applyBorder="1">
      <alignment vertical="center"/>
    </xf>
    <xf numFmtId="0" fontId="0" fillId="0" borderId="1" xfId="0" applyBorder="1" applyAlignment="1">
      <alignment horizontal="center" vertical="center"/>
    </xf>
    <xf numFmtId="57" fontId="0" fillId="0" borderId="1" xfId="0" applyNumberFormat="1" applyBorder="1">
      <alignment vertical="center"/>
    </xf>
    <xf numFmtId="0" fontId="0" fillId="0" borderId="70" xfId="0" applyFill="1" applyBorder="1" applyAlignment="1">
      <alignment horizontal="right" vertical="center"/>
    </xf>
    <xf numFmtId="0" fontId="0" fillId="0" borderId="69" xfId="0" applyFill="1" applyBorder="1" applyAlignment="1">
      <alignment horizontal="right" vertical="center"/>
    </xf>
    <xf numFmtId="0" fontId="0" fillId="0" borderId="71" xfId="0" applyBorder="1">
      <alignment vertical="center"/>
    </xf>
    <xf numFmtId="0" fontId="4" fillId="4" borderId="25" xfId="1" applyBorder="1" applyAlignment="1">
      <alignment horizontal="center" vertical="center"/>
    </xf>
    <xf numFmtId="0" fontId="0" fillId="0" borderId="3" xfId="0" applyBorder="1" applyAlignment="1">
      <alignment horizontal="center" vertical="center"/>
    </xf>
    <xf numFmtId="179" fontId="0" fillId="0" borderId="0" xfId="0" applyNumberFormat="1" applyFill="1" applyBorder="1">
      <alignment vertical="center"/>
    </xf>
    <xf numFmtId="179" fontId="0" fillId="0" borderId="0" xfId="0" applyNumberFormat="1" applyBorder="1" applyAlignment="1">
      <alignment horizontal="center" vertical="center"/>
    </xf>
    <xf numFmtId="179" fontId="0" fillId="0" borderId="0" xfId="0" applyNumberFormat="1" applyFill="1" applyBorder="1" applyAlignment="1">
      <alignment horizontal="center" vertical="center"/>
    </xf>
    <xf numFmtId="0" fontId="0" fillId="0" borderId="90" xfId="0" applyBorder="1">
      <alignment vertical="center"/>
    </xf>
    <xf numFmtId="0" fontId="0" fillId="0" borderId="91" xfId="0" applyFill="1" applyBorder="1" applyAlignment="1">
      <alignment horizontal="right" vertical="center"/>
    </xf>
    <xf numFmtId="0" fontId="0" fillId="0" borderId="0" xfId="0" applyBorder="1" applyAlignment="1">
      <alignment vertical="center" shrinkToFit="1"/>
    </xf>
    <xf numFmtId="0" fontId="0" fillId="5" borderId="0" xfId="0" applyFill="1" applyBorder="1">
      <alignment vertical="center"/>
    </xf>
    <xf numFmtId="177" fontId="0" fillId="3" borderId="8" xfId="0" applyNumberFormat="1" applyFill="1" applyBorder="1" applyAlignment="1">
      <alignment vertical="center"/>
    </xf>
    <xf numFmtId="0" fontId="0" fillId="0" borderId="34" xfId="0" applyBorder="1" applyAlignment="1">
      <alignment horizontal="center" vertical="center" shrinkToFit="1"/>
    </xf>
    <xf numFmtId="0" fontId="0" fillId="0" borderId="54" xfId="0" applyBorder="1" applyAlignment="1">
      <alignment horizontal="center" vertical="center" shrinkToFit="1"/>
    </xf>
    <xf numFmtId="0" fontId="0" fillId="0" borderId="59" xfId="0" applyBorder="1" applyAlignment="1">
      <alignment horizontal="center" vertical="center"/>
    </xf>
    <xf numFmtId="0" fontId="4" fillId="0" borderId="0" xfId="1" applyFill="1" applyBorder="1" applyAlignment="1">
      <alignment horizontal="center" vertical="center"/>
    </xf>
    <xf numFmtId="0" fontId="4" fillId="0" borderId="0" xfId="1" applyFont="1" applyFill="1" applyBorder="1" applyAlignment="1">
      <alignment horizontal="center" vertical="center" wrapText="1" shrinkToFit="1"/>
    </xf>
    <xf numFmtId="0" fontId="11" fillId="2" borderId="0" xfId="0" applyFont="1" applyFill="1" applyAlignment="1">
      <alignment horizontal="right" vertical="center"/>
    </xf>
    <xf numFmtId="0" fontId="0" fillId="0" borderId="60" xfId="0" applyFill="1" applyBorder="1" applyAlignment="1">
      <alignment horizontal="center" vertical="center"/>
    </xf>
    <xf numFmtId="0" fontId="6" fillId="0" borderId="89" xfId="0" applyFont="1" applyFill="1" applyBorder="1" applyAlignment="1">
      <alignment vertical="center"/>
    </xf>
    <xf numFmtId="179" fontId="0" fillId="8" borderId="18" xfId="0" applyNumberFormat="1" applyFill="1" applyBorder="1">
      <alignment vertical="center"/>
    </xf>
    <xf numFmtId="179" fontId="0" fillId="8" borderId="10" xfId="0" applyNumberFormat="1" applyFill="1" applyBorder="1">
      <alignment vertical="center"/>
    </xf>
    <xf numFmtId="179" fontId="0" fillId="8" borderId="19" xfId="0" applyNumberFormat="1" applyFill="1" applyBorder="1">
      <alignment vertical="center"/>
    </xf>
    <xf numFmtId="179" fontId="0" fillId="8" borderId="13" xfId="0" applyNumberFormat="1" applyFill="1" applyBorder="1">
      <alignment vertical="center"/>
    </xf>
    <xf numFmtId="179" fontId="0" fillId="8" borderId="33" xfId="0" applyNumberFormat="1" applyFill="1" applyBorder="1">
      <alignment vertical="center"/>
    </xf>
    <xf numFmtId="179" fontId="0" fillId="8" borderId="16" xfId="0" applyNumberFormat="1" applyFill="1" applyBorder="1">
      <alignment vertical="center"/>
    </xf>
    <xf numFmtId="179" fontId="0" fillId="8" borderId="72" xfId="0" applyNumberFormat="1" applyFill="1" applyBorder="1">
      <alignment vertical="center"/>
    </xf>
    <xf numFmtId="179" fontId="0" fillId="8" borderId="73" xfId="0" applyNumberFormat="1" applyFill="1" applyBorder="1">
      <alignment vertical="center"/>
    </xf>
    <xf numFmtId="179" fontId="0" fillId="8" borderId="7" xfId="0" applyNumberFormat="1" applyFill="1" applyBorder="1">
      <alignment vertical="center"/>
    </xf>
    <xf numFmtId="179" fontId="0" fillId="8" borderId="93" xfId="0" applyNumberFormat="1" applyFill="1" applyBorder="1">
      <alignment vertical="center"/>
    </xf>
    <xf numFmtId="179" fontId="0" fillId="8" borderId="21" xfId="0" applyNumberFormat="1" applyFill="1" applyBorder="1">
      <alignment vertical="center"/>
    </xf>
    <xf numFmtId="179" fontId="0" fillId="8" borderId="11" xfId="0" applyNumberFormat="1" applyFill="1" applyBorder="1">
      <alignment vertical="center"/>
    </xf>
    <xf numFmtId="179" fontId="0" fillId="8" borderId="20" xfId="0" applyNumberFormat="1" applyFill="1" applyBorder="1">
      <alignment vertical="center"/>
    </xf>
    <xf numFmtId="179" fontId="0" fillId="8" borderId="5" xfId="0" applyNumberFormat="1" applyFill="1" applyBorder="1">
      <alignment vertical="center"/>
    </xf>
    <xf numFmtId="179" fontId="0" fillId="8" borderId="69" xfId="0" applyNumberFormat="1" applyFill="1" applyBorder="1">
      <alignment vertical="center"/>
    </xf>
    <xf numFmtId="179" fontId="0" fillId="8" borderId="12" xfId="0" applyNumberFormat="1" applyFill="1" applyBorder="1">
      <alignment vertical="center"/>
    </xf>
    <xf numFmtId="179" fontId="0" fillId="8" borderId="27" xfId="0" applyNumberFormat="1" applyFill="1" applyBorder="1">
      <alignment vertical="center"/>
    </xf>
    <xf numFmtId="179" fontId="0" fillId="8" borderId="83" xfId="0" applyNumberFormat="1" applyFill="1" applyBorder="1" applyAlignment="1">
      <alignment vertical="center"/>
    </xf>
    <xf numFmtId="179" fontId="0" fillId="8" borderId="84" xfId="0" applyNumberFormat="1" applyFill="1" applyBorder="1" applyAlignment="1">
      <alignment vertical="center"/>
    </xf>
    <xf numFmtId="179" fontId="0" fillId="8" borderId="92" xfId="0" applyNumberFormat="1" applyFill="1" applyBorder="1">
      <alignment vertical="center"/>
    </xf>
    <xf numFmtId="0" fontId="12" fillId="6" borderId="0" xfId="2" applyFont="1" applyFill="1" applyBorder="1" applyAlignment="1">
      <alignment horizontal="center" vertical="center"/>
    </xf>
    <xf numFmtId="0" fontId="0" fillId="2" borderId="0" xfId="0" applyFill="1" applyAlignment="1">
      <alignment horizontal="left" vertical="center"/>
    </xf>
    <xf numFmtId="0" fontId="4" fillId="4" borderId="25" xfId="1" applyBorder="1" applyAlignment="1">
      <alignment horizontal="center" vertical="center"/>
    </xf>
    <xf numFmtId="183" fontId="4" fillId="4" borderId="26" xfId="1" applyNumberFormat="1" applyBorder="1" applyAlignment="1">
      <alignment vertical="center"/>
    </xf>
    <xf numFmtId="0" fontId="4" fillId="4" borderId="24" xfId="1" applyBorder="1" applyAlignment="1">
      <alignment horizontal="left" vertical="center"/>
    </xf>
    <xf numFmtId="0" fontId="4" fillId="4" borderId="17" xfId="1" applyAlignment="1">
      <alignment horizontal="center" vertical="center"/>
    </xf>
    <xf numFmtId="0" fontId="4" fillId="4" borderId="28" xfId="1" applyFont="1" applyBorder="1" applyAlignment="1">
      <alignment horizontal="center" vertical="center" wrapText="1" shrinkToFit="1"/>
    </xf>
    <xf numFmtId="0" fontId="4" fillId="4" borderId="29" xfId="1" applyFont="1" applyBorder="1" applyAlignment="1">
      <alignment horizontal="center" vertical="center" wrapText="1" shrinkToFit="1"/>
    </xf>
    <xf numFmtId="0" fontId="4" fillId="4" borderId="30" xfId="1" applyFont="1" applyBorder="1" applyAlignment="1">
      <alignment horizontal="center" vertical="center" wrapText="1" shrinkToFit="1"/>
    </xf>
    <xf numFmtId="0" fontId="4" fillId="4" borderId="31" xfId="1" applyFont="1" applyBorder="1" applyAlignment="1">
      <alignment horizontal="center" vertical="center" wrapText="1" shrinkToFit="1"/>
    </xf>
    <xf numFmtId="183" fontId="4" fillId="4" borderId="26" xfId="1" applyNumberFormat="1" applyBorder="1" applyAlignment="1">
      <alignment horizontal="right" vertical="center"/>
    </xf>
    <xf numFmtId="179" fontId="0" fillId="8" borderId="11" xfId="0" applyNumberFormat="1" applyFill="1" applyBorder="1" applyAlignment="1">
      <alignment vertical="center"/>
    </xf>
    <xf numFmtId="179" fontId="0" fillId="8" borderId="12" xfId="0" applyNumberFormat="1" applyFill="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179" fontId="0" fillId="8" borderId="74" xfId="0" applyNumberFormat="1" applyFill="1" applyBorder="1" applyAlignment="1">
      <alignment vertical="center"/>
    </xf>
    <xf numFmtId="179" fontId="0" fillId="8" borderId="75" xfId="0" applyNumberFormat="1" applyFill="1" applyBorder="1" applyAlignment="1">
      <alignment vertical="center"/>
    </xf>
    <xf numFmtId="179" fontId="0" fillId="8" borderId="20" xfId="0" applyNumberFormat="1" applyFill="1" applyBorder="1" applyAlignment="1">
      <alignment vertical="center"/>
    </xf>
    <xf numFmtId="179" fontId="0" fillId="8" borderId="79" xfId="0" applyNumberFormat="1" applyFill="1" applyBorder="1" applyAlignment="1">
      <alignment vertical="center"/>
    </xf>
    <xf numFmtId="179" fontId="0" fillId="8" borderId="14" xfId="0" applyNumberFormat="1" applyFill="1" applyBorder="1" applyAlignment="1">
      <alignment vertical="center"/>
    </xf>
    <xf numFmtId="179" fontId="0" fillId="8" borderId="15" xfId="0" applyNumberFormat="1" applyFill="1" applyBorder="1" applyAlignment="1">
      <alignment vertical="center"/>
    </xf>
    <xf numFmtId="179" fontId="0" fillId="8" borderId="9" xfId="0" applyNumberFormat="1" applyFill="1" applyBorder="1" applyAlignment="1">
      <alignment vertical="center"/>
    </xf>
    <xf numFmtId="179" fontId="0" fillId="8" borderId="80" xfId="0" applyNumberFormat="1" applyFill="1" applyBorder="1" applyAlignment="1">
      <alignment vertical="center"/>
    </xf>
    <xf numFmtId="179" fontId="0" fillId="8" borderId="6" xfId="0" applyNumberFormat="1" applyFill="1" applyBorder="1" applyAlignment="1">
      <alignment vertical="center"/>
    </xf>
    <xf numFmtId="179" fontId="0" fillId="8" borderId="76" xfId="0" applyNumberFormat="1" applyFill="1" applyBorder="1" applyAlignment="1">
      <alignment vertical="center"/>
    </xf>
    <xf numFmtId="179" fontId="0" fillId="8" borderId="77" xfId="0" applyNumberFormat="1" applyFill="1" applyBorder="1" applyAlignment="1">
      <alignment vertical="center"/>
    </xf>
    <xf numFmtId="179" fontId="0" fillId="8" borderId="78" xfId="0" applyNumberFormat="1" applyFill="1" applyBorder="1" applyAlignment="1">
      <alignment vertical="center"/>
    </xf>
    <xf numFmtId="179" fontId="0" fillId="8" borderId="83" xfId="0" applyNumberFormat="1" applyFill="1" applyBorder="1" applyAlignment="1">
      <alignment vertical="center"/>
    </xf>
    <xf numFmtId="179" fontId="0" fillId="8" borderId="84" xfId="0" applyNumberFormat="1" applyFill="1" applyBorder="1" applyAlignment="1">
      <alignment vertical="center"/>
    </xf>
    <xf numFmtId="179" fontId="0" fillId="8" borderId="22" xfId="0" applyNumberFormat="1" applyFill="1" applyBorder="1" applyAlignment="1">
      <alignment horizontal="center" vertical="center"/>
    </xf>
    <xf numFmtId="179" fontId="0" fillId="8" borderId="23" xfId="0" applyNumberFormat="1" applyFill="1" applyBorder="1" applyAlignment="1">
      <alignment horizontal="center" vertical="center"/>
    </xf>
    <xf numFmtId="179" fontId="0" fillId="8" borderId="11" xfId="0" applyNumberFormat="1" applyFill="1" applyBorder="1" applyAlignment="1">
      <alignment horizontal="center" vertical="center"/>
    </xf>
    <xf numFmtId="179" fontId="0" fillId="8" borderId="12" xfId="0" applyNumberFormat="1" applyFill="1" applyBorder="1" applyAlignment="1">
      <alignment horizontal="center" vertical="center"/>
    </xf>
    <xf numFmtId="179" fontId="0" fillId="8" borderId="77" xfId="0" applyNumberFormat="1" applyFill="1" applyBorder="1" applyAlignment="1">
      <alignment horizontal="center" vertical="center"/>
    </xf>
    <xf numFmtId="179" fontId="0" fillId="8" borderId="78" xfId="0" applyNumberFormat="1" applyFill="1" applyBorder="1" applyAlignment="1">
      <alignment horizontal="center" vertical="center"/>
    </xf>
    <xf numFmtId="179" fontId="0" fillId="8" borderId="81" xfId="0" applyNumberFormat="1" applyFill="1" applyBorder="1" applyAlignment="1">
      <alignment vertical="center"/>
    </xf>
    <xf numFmtId="179" fontId="0" fillId="8" borderId="82" xfId="0" applyNumberFormat="1" applyFill="1" applyBorder="1" applyAlignment="1">
      <alignment vertical="center"/>
    </xf>
    <xf numFmtId="0" fontId="4" fillId="4" borderId="87" xfId="1" applyFont="1" applyBorder="1" applyAlignment="1">
      <alignment horizontal="center" vertical="center" wrapText="1" shrinkToFit="1"/>
    </xf>
    <xf numFmtId="0" fontId="4" fillId="4" borderId="88" xfId="1" applyFont="1" applyBorder="1" applyAlignment="1">
      <alignment horizontal="center" vertical="center" wrapText="1" shrinkToFit="1"/>
    </xf>
    <xf numFmtId="179" fontId="0" fillId="8" borderId="85" xfId="0" applyNumberFormat="1" applyFill="1" applyBorder="1" applyAlignment="1">
      <alignment vertical="center"/>
    </xf>
    <xf numFmtId="179" fontId="0" fillId="8" borderId="86" xfId="0" applyNumberFormat="1" applyFill="1" applyBorder="1" applyAlignment="1">
      <alignment vertical="center"/>
    </xf>
    <xf numFmtId="0" fontId="4" fillId="4" borderId="26" xfId="1" applyBorder="1" applyAlignment="1">
      <alignment horizontal="center" vertical="center"/>
    </xf>
    <xf numFmtId="0" fontId="4" fillId="4" borderId="24" xfId="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cellXfs>
  <cellStyles count="3">
    <cellStyle name="チェック セル" xfId="1" builtinId="23"/>
    <cellStyle name="説明文" xfId="2" builtinId="53"/>
    <cellStyle name="標準" xfId="0" builtinId="0"/>
  </cellStyles>
  <dxfs count="38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ont>
        <color rgb="FF9C0006"/>
      </font>
    </dxf>
    <dxf>
      <font>
        <color rgb="FF9C0006"/>
      </font>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0006"/>
      </font>
    </dxf>
    <dxf>
      <font>
        <color rgb="FF9C0006"/>
      </font>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0006"/>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ont>
        <color rgb="FF9C0006"/>
      </font>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103399</xdr:colOff>
      <xdr:row>2</xdr:row>
      <xdr:rowOff>39592</xdr:rowOff>
    </xdr:from>
    <xdr:to>
      <xdr:col>18</xdr:col>
      <xdr:colOff>126352</xdr:colOff>
      <xdr:row>59</xdr:row>
      <xdr:rowOff>67537</xdr:rowOff>
    </xdr:to>
    <xdr:pic>
      <xdr:nvPicPr>
        <xdr:cNvPr id="10" name="図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6588" y="457526"/>
          <a:ext cx="6923718" cy="9795346"/>
        </a:xfrm>
        <a:prstGeom prst="rect">
          <a:avLst/>
        </a:prstGeom>
      </xdr:spPr>
    </xdr:pic>
    <xdr:clientData/>
  </xdr:twoCellAnchor>
  <xdr:twoCellAnchor>
    <xdr:from>
      <xdr:col>12</xdr:col>
      <xdr:colOff>602603</xdr:colOff>
      <xdr:row>8</xdr:row>
      <xdr:rowOff>174560</xdr:rowOff>
    </xdr:from>
    <xdr:to>
      <xdr:col>16</xdr:col>
      <xdr:colOff>369758</xdr:colOff>
      <xdr:row>52</xdr:row>
      <xdr:rowOff>95368</xdr:rowOff>
    </xdr:to>
    <xdr:cxnSp macro="">
      <xdr:nvCxnSpPr>
        <xdr:cNvPr id="22" name="カギ線コネクタ 21"/>
        <xdr:cNvCxnSpPr/>
      </xdr:nvCxnSpPr>
      <xdr:spPr>
        <a:xfrm rot="16200000" flipV="1">
          <a:off x="8102914" y="3789924"/>
          <a:ext cx="7283633" cy="2510355"/>
        </a:xfrm>
        <a:prstGeom prst="bentConnector3">
          <a:avLst>
            <a:gd name="adj1" fmla="val 48249"/>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399515</xdr:colOff>
      <xdr:row>12</xdr:row>
      <xdr:rowOff>235256</xdr:rowOff>
    </xdr:from>
    <xdr:to>
      <xdr:col>16</xdr:col>
      <xdr:colOff>399515</xdr:colOff>
      <xdr:row>18</xdr:row>
      <xdr:rowOff>56289</xdr:rowOff>
    </xdr:to>
    <xdr:cxnSp macro="">
      <xdr:nvCxnSpPr>
        <xdr:cNvPr id="21" name="直線コネクタ 20"/>
        <xdr:cNvCxnSpPr/>
      </xdr:nvCxnSpPr>
      <xdr:spPr>
        <a:xfrm>
          <a:off x="13083316" y="2052782"/>
          <a:ext cx="0" cy="1210905"/>
        </a:xfrm>
        <a:prstGeom prst="line">
          <a:avLst/>
        </a:prstGeom>
        <a:ln>
          <a:headEnd type="none" w="med" len="med"/>
          <a:tailEnd type="arrow" w="med" len="med"/>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16</xdr:col>
      <xdr:colOff>393146</xdr:colOff>
      <xdr:row>18</xdr:row>
      <xdr:rowOff>44748</xdr:rowOff>
    </xdr:from>
    <xdr:to>
      <xdr:col>16</xdr:col>
      <xdr:colOff>538239</xdr:colOff>
      <xdr:row>18</xdr:row>
      <xdr:rowOff>49766</xdr:rowOff>
    </xdr:to>
    <xdr:cxnSp macro="">
      <xdr:nvCxnSpPr>
        <xdr:cNvPr id="24" name="直線コネクタ 23"/>
        <xdr:cNvCxnSpPr/>
      </xdr:nvCxnSpPr>
      <xdr:spPr>
        <a:xfrm>
          <a:off x="13040940" y="3221879"/>
          <a:ext cx="145093" cy="5018"/>
        </a:xfrm>
        <a:prstGeom prst="line">
          <a:avLst/>
        </a:prstGeom>
        <a:ln>
          <a:headEnd type="none" w="med" len="med"/>
          <a:tailEnd type="arrow" w="med" len="med"/>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12</xdr:col>
      <xdr:colOff>176147</xdr:colOff>
      <xdr:row>30</xdr:row>
      <xdr:rowOff>29358</xdr:rowOff>
    </xdr:from>
    <xdr:to>
      <xdr:col>12</xdr:col>
      <xdr:colOff>257697</xdr:colOff>
      <xdr:row>30</xdr:row>
      <xdr:rowOff>163099</xdr:rowOff>
    </xdr:to>
    <xdr:cxnSp macro="">
      <xdr:nvCxnSpPr>
        <xdr:cNvPr id="42" name="直線コネクタ 41"/>
        <xdr:cNvCxnSpPr/>
      </xdr:nvCxnSpPr>
      <xdr:spPr>
        <a:xfrm flipH="1">
          <a:off x="8487688" y="5118057"/>
          <a:ext cx="81550" cy="133741"/>
        </a:xfrm>
        <a:prstGeom prst="line">
          <a:avLst/>
        </a:prstGeom>
      </xdr:spPr>
      <xdr:style>
        <a:lnRef idx="2">
          <a:schemeClr val="accent5"/>
        </a:lnRef>
        <a:fillRef idx="0">
          <a:schemeClr val="accent5"/>
        </a:fillRef>
        <a:effectRef idx="1">
          <a:schemeClr val="accent5"/>
        </a:effectRef>
        <a:fontRef idx="minor">
          <a:schemeClr val="tx1"/>
        </a:fontRef>
      </xdr:style>
    </xdr:cxnSp>
    <xdr:clientData/>
  </xdr:twoCellAnchor>
  <xdr:twoCellAnchor>
    <xdr:from>
      <xdr:col>12</xdr:col>
      <xdr:colOff>176147</xdr:colOff>
      <xdr:row>30</xdr:row>
      <xdr:rowOff>159837</xdr:rowOff>
    </xdr:from>
    <xdr:to>
      <xdr:col>12</xdr:col>
      <xdr:colOff>176147</xdr:colOff>
      <xdr:row>31</xdr:row>
      <xdr:rowOff>140265</xdr:rowOff>
    </xdr:to>
    <xdr:cxnSp macro="">
      <xdr:nvCxnSpPr>
        <xdr:cNvPr id="44" name="直線コネクタ 43"/>
        <xdr:cNvCxnSpPr/>
      </xdr:nvCxnSpPr>
      <xdr:spPr>
        <a:xfrm>
          <a:off x="8487688" y="5248536"/>
          <a:ext cx="0" cy="153313"/>
        </a:xfrm>
        <a:prstGeom prst="line">
          <a:avLst/>
        </a:prstGeom>
        <a:ln>
          <a:headEnd type="none" w="med" len="med"/>
          <a:tailEnd type="arrow" w="med" len="med"/>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12</xdr:col>
      <xdr:colOff>361949</xdr:colOff>
      <xdr:row>32</xdr:row>
      <xdr:rowOff>95250</xdr:rowOff>
    </xdr:from>
    <xdr:to>
      <xdr:col>16</xdr:col>
      <xdr:colOff>238124</xdr:colOff>
      <xdr:row>45</xdr:row>
      <xdr:rowOff>38100</xdr:rowOff>
    </xdr:to>
    <xdr:sp macro="" textlink="">
      <xdr:nvSpPr>
        <xdr:cNvPr id="2" name="角丸四角形吹き出し 1"/>
        <xdr:cNvSpPr/>
      </xdr:nvSpPr>
      <xdr:spPr>
        <a:xfrm>
          <a:off x="8677274" y="5486400"/>
          <a:ext cx="2619375" cy="1571625"/>
        </a:xfrm>
        <a:prstGeom prst="wedgeRoundRectCallout">
          <a:avLst>
            <a:gd name="adj1" fmla="val 52697"/>
            <a:gd name="adj2" fmla="val 129962"/>
            <a:gd name="adj3" fmla="val 16667"/>
          </a:avLst>
        </a:prstGeom>
        <a:solidFill>
          <a:srgbClr val="FFFFFF"/>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400050</xdr:colOff>
      <xdr:row>32</xdr:row>
      <xdr:rowOff>145791</xdr:rowOff>
    </xdr:from>
    <xdr:ext cx="2476889" cy="1487067"/>
    <xdr:sp macro="" textlink="">
      <xdr:nvSpPr>
        <xdr:cNvPr id="4" name="テキスト ボックス 3"/>
        <xdr:cNvSpPr txBox="1"/>
      </xdr:nvSpPr>
      <xdr:spPr>
        <a:xfrm>
          <a:off x="8749004" y="5627526"/>
          <a:ext cx="2476889" cy="14870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u="sng"/>
            <a:t>分岐から末端水栓までの経路とは</a:t>
          </a:r>
          <a:endParaRPr kumimoji="1" lang="en-US" altLang="ja-JP" sz="1000" u="sng"/>
        </a:p>
        <a:p>
          <a:endParaRPr kumimoji="1" lang="en-US" altLang="ja-JP" sz="1000" u="sng"/>
        </a:p>
        <a:p>
          <a:r>
            <a:rPr kumimoji="1" lang="ja-JP" altLang="en-US" sz="900" u="none"/>
            <a:t>配水管の分岐点から一番遠くにある</a:t>
          </a:r>
          <a:endParaRPr kumimoji="1" lang="en-US" altLang="ja-JP" sz="900" u="none"/>
        </a:p>
        <a:p>
          <a:r>
            <a:rPr kumimoji="1" lang="ja-JP" altLang="en-US" sz="900" u="none"/>
            <a:t>　　　　　　　　　　　　　水栓までの経路のこと</a:t>
          </a:r>
          <a:endParaRPr kumimoji="1" lang="en-US" altLang="ja-JP" sz="900" u="none"/>
        </a:p>
        <a:p>
          <a:r>
            <a:rPr kumimoji="1" lang="ja-JP" altLang="en-US" sz="900" u="none"/>
            <a:t>（参考例の場合：サドル分水栓～</a:t>
          </a:r>
          <a:r>
            <a:rPr kumimoji="1" lang="en-US" altLang="ja-JP" sz="900" u="none"/>
            <a:t>2</a:t>
          </a:r>
          <a:r>
            <a:rPr kumimoji="1" lang="ja-JP" altLang="en-US" sz="900" u="none"/>
            <a:t>階トイレ）</a:t>
          </a:r>
          <a:endParaRPr kumimoji="1" lang="en-US" altLang="ja-JP" sz="900" u="none"/>
        </a:p>
        <a:p>
          <a:endParaRPr kumimoji="1" lang="en-US" altLang="ja-JP" sz="900" u="none"/>
        </a:p>
        <a:p>
          <a:r>
            <a:rPr kumimoji="1" lang="ja-JP" altLang="en-US" sz="900" u="none"/>
            <a:t>改造工事の場合についても、</a:t>
          </a:r>
          <a:endParaRPr kumimoji="1" lang="en-US" altLang="ja-JP" sz="900" u="none"/>
        </a:p>
        <a:p>
          <a:r>
            <a:rPr kumimoji="1" lang="ja-JP" altLang="en-US" sz="900" u="none"/>
            <a:t>必ず配水管分岐点からの延長を考慮すること</a:t>
          </a:r>
        </a:p>
      </xdr:txBody>
    </xdr:sp>
    <xdr:clientData/>
  </xdr:oneCellAnchor>
  <xdr:twoCellAnchor>
    <xdr:from>
      <xdr:col>8</xdr:col>
      <xdr:colOff>227005</xdr:colOff>
      <xdr:row>6</xdr:row>
      <xdr:rowOff>29421</xdr:rowOff>
    </xdr:from>
    <xdr:to>
      <xdr:col>12</xdr:col>
      <xdr:colOff>326921</xdr:colOff>
      <xdr:row>20</xdr:row>
      <xdr:rowOff>48859</xdr:rowOff>
    </xdr:to>
    <xdr:sp macro="" textlink="">
      <xdr:nvSpPr>
        <xdr:cNvPr id="6" name="正方形/長方形 5"/>
        <xdr:cNvSpPr/>
      </xdr:nvSpPr>
      <xdr:spPr>
        <a:xfrm>
          <a:off x="7377148" y="1023473"/>
          <a:ext cx="2848741" cy="2547718"/>
        </a:xfrm>
        <a:prstGeom prst="rect">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332987</xdr:colOff>
      <xdr:row>9</xdr:row>
      <xdr:rowOff>96609</xdr:rowOff>
    </xdr:from>
    <xdr:ext cx="1437573" cy="1009251"/>
    <xdr:sp macro="" textlink="">
      <xdr:nvSpPr>
        <xdr:cNvPr id="8" name="テキスト ボックス 7"/>
        <xdr:cNvSpPr txBox="1"/>
      </xdr:nvSpPr>
      <xdr:spPr>
        <a:xfrm>
          <a:off x="6611711" y="1505920"/>
          <a:ext cx="1437573" cy="100925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参考例</a:t>
          </a:r>
          <a:r>
            <a:rPr kumimoji="1" lang="en-US" altLang="ja-JP" sz="1100"/>
            <a:t>】</a:t>
          </a:r>
        </a:p>
        <a:p>
          <a:r>
            <a:rPr kumimoji="1" lang="en-US" altLang="ja-JP" sz="1100"/>
            <a:t>2</a:t>
          </a:r>
          <a:r>
            <a:rPr kumimoji="1" lang="ja-JP" altLang="en-US" sz="1100"/>
            <a:t>階建て　</a:t>
          </a:r>
          <a:r>
            <a:rPr kumimoji="1" lang="en-US" altLang="ja-JP" sz="1100"/>
            <a:t>20</a:t>
          </a:r>
          <a:r>
            <a:rPr kumimoji="1" lang="ja-JP" altLang="en-US" sz="1100"/>
            <a:t>㎜</a:t>
          </a:r>
          <a:endParaRPr kumimoji="1" lang="en-US" altLang="ja-JP" sz="1100"/>
        </a:p>
        <a:p>
          <a:r>
            <a:rPr kumimoji="1" lang="ja-JP" altLang="en-US" sz="1100"/>
            <a:t>現地水圧　</a:t>
          </a:r>
          <a:r>
            <a:rPr kumimoji="1" lang="en-US" altLang="ja-JP" sz="1100"/>
            <a:t>0.4Mpa</a:t>
          </a:r>
        </a:p>
        <a:p>
          <a:r>
            <a:rPr kumimoji="1" lang="ja-JP" altLang="en-US" sz="1100"/>
            <a:t>水栓数　</a:t>
          </a:r>
          <a:r>
            <a:rPr kumimoji="1" lang="en-US" altLang="ja-JP" sz="1100"/>
            <a:t>8</a:t>
          </a:r>
          <a:r>
            <a:rPr kumimoji="1" lang="ja-JP" altLang="en-US" sz="1100"/>
            <a:t>栓</a:t>
          </a:r>
          <a:endParaRPr kumimoji="1" lang="en-US" altLang="ja-JP" sz="1100"/>
        </a:p>
        <a:p>
          <a:r>
            <a:rPr kumimoji="1" lang="ja-JP" altLang="en-US" sz="1100"/>
            <a:t>末端水栓　</a:t>
          </a:r>
          <a:r>
            <a:rPr kumimoji="1" lang="en-US" altLang="ja-JP" sz="1100"/>
            <a:t>2</a:t>
          </a:r>
          <a:r>
            <a:rPr kumimoji="1" lang="ja-JP" altLang="en-US" sz="1100"/>
            <a:t>階トイレ</a:t>
          </a:r>
          <a:endParaRPr kumimoji="1" lang="en-US" altLang="ja-JP" sz="1100"/>
        </a:p>
      </xdr:txBody>
    </xdr:sp>
    <xdr:clientData/>
  </xdr:oneCellAnchor>
  <xdr:twoCellAnchor>
    <xdr:from>
      <xdr:col>12</xdr:col>
      <xdr:colOff>602485</xdr:colOff>
      <xdr:row>9</xdr:row>
      <xdr:rowOff>166519</xdr:rowOff>
    </xdr:from>
    <xdr:to>
      <xdr:col>14</xdr:col>
      <xdr:colOff>286898</xdr:colOff>
      <xdr:row>9</xdr:row>
      <xdr:rowOff>166519</xdr:rowOff>
    </xdr:to>
    <xdr:cxnSp macro="">
      <xdr:nvCxnSpPr>
        <xdr:cNvPr id="12" name="直線コネクタ 11"/>
        <xdr:cNvCxnSpPr/>
      </xdr:nvCxnSpPr>
      <xdr:spPr>
        <a:xfrm>
          <a:off x="8951439" y="1575830"/>
          <a:ext cx="1064566"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298374</xdr:colOff>
      <xdr:row>9</xdr:row>
      <xdr:rowOff>155510</xdr:rowOff>
    </xdr:from>
    <xdr:to>
      <xdr:col>14</xdr:col>
      <xdr:colOff>298374</xdr:colOff>
      <xdr:row>12</xdr:row>
      <xdr:rowOff>235256</xdr:rowOff>
    </xdr:to>
    <xdr:cxnSp macro="">
      <xdr:nvCxnSpPr>
        <xdr:cNvPr id="14" name="直線コネクタ 13"/>
        <xdr:cNvCxnSpPr/>
      </xdr:nvCxnSpPr>
      <xdr:spPr>
        <a:xfrm>
          <a:off x="10027481" y="1564821"/>
          <a:ext cx="0" cy="487961"/>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298374</xdr:colOff>
      <xdr:row>12</xdr:row>
      <xdr:rowOff>235256</xdr:rowOff>
    </xdr:from>
    <xdr:to>
      <xdr:col>16</xdr:col>
      <xdr:colOff>418716</xdr:colOff>
      <xdr:row>12</xdr:row>
      <xdr:rowOff>236527</xdr:rowOff>
    </xdr:to>
    <xdr:cxnSp macro="">
      <xdr:nvCxnSpPr>
        <xdr:cNvPr id="16" name="直線コネクタ 15"/>
        <xdr:cNvCxnSpPr/>
      </xdr:nvCxnSpPr>
      <xdr:spPr>
        <a:xfrm>
          <a:off x="11571755" y="2034778"/>
          <a:ext cx="1494755" cy="1271"/>
        </a:xfrm>
        <a:prstGeom prst="line">
          <a:avLst/>
        </a:prstGeom>
      </xdr:spPr>
      <xdr:style>
        <a:lnRef idx="2">
          <a:schemeClr val="accent5"/>
        </a:lnRef>
        <a:fillRef idx="0">
          <a:schemeClr val="accent5"/>
        </a:fillRef>
        <a:effectRef idx="1">
          <a:schemeClr val="accent5"/>
        </a:effectRef>
        <a:fontRef idx="minor">
          <a:schemeClr val="tx1"/>
        </a:fontRef>
      </xdr:style>
    </xdr:cxnSp>
    <xdr:clientData/>
  </xdr:twoCellAnchor>
  <xdr:oneCellAnchor>
    <xdr:from>
      <xdr:col>8</xdr:col>
      <xdr:colOff>281862</xdr:colOff>
      <xdr:row>15</xdr:row>
      <xdr:rowOff>127722</xdr:rowOff>
    </xdr:from>
    <xdr:ext cx="2983852" cy="1031436"/>
    <xdr:sp macro="" textlink="">
      <xdr:nvSpPr>
        <xdr:cNvPr id="9" name="テキスト ボックス 8"/>
        <xdr:cNvSpPr txBox="1"/>
      </xdr:nvSpPr>
      <xdr:spPr>
        <a:xfrm>
          <a:off x="5870510" y="2810273"/>
          <a:ext cx="2983852" cy="1031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☆同時使用水栓</a:t>
          </a:r>
          <a:r>
            <a:rPr kumimoji="1" lang="en-US" altLang="ja-JP" sz="1100"/>
            <a:t>3</a:t>
          </a:r>
          <a:r>
            <a:rPr kumimoji="1" lang="ja-JP" altLang="en-US" sz="1100"/>
            <a:t>栓☆</a:t>
          </a:r>
          <a:endParaRPr kumimoji="1" lang="en-US" altLang="ja-JP" sz="1100"/>
        </a:p>
        <a:p>
          <a:r>
            <a:rPr kumimoji="1" lang="ja-JP" altLang="en-US" sz="1100"/>
            <a:t>　　　</a:t>
          </a:r>
          <a:r>
            <a:rPr kumimoji="1" lang="en-US" altLang="ja-JP" sz="1100"/>
            <a:t>2</a:t>
          </a:r>
          <a:r>
            <a:rPr kumimoji="1" lang="ja-JP" altLang="en-US" sz="1100"/>
            <a:t>階トイレ・台所流し・洗濯機と設定</a:t>
          </a:r>
          <a:endParaRPr kumimoji="1" lang="en-US" altLang="ja-JP" sz="1100"/>
        </a:p>
        <a:p>
          <a:endParaRPr kumimoji="1" lang="en-US" altLang="ja-JP" sz="1100"/>
        </a:p>
        <a:p>
          <a:r>
            <a:rPr kumimoji="1" lang="ja-JP" altLang="en-US" sz="800"/>
            <a:t>　</a:t>
          </a:r>
          <a:r>
            <a:rPr kumimoji="1" lang="en-US" altLang="ja-JP" sz="800">
              <a:solidFill>
                <a:schemeClr val="tx1"/>
              </a:solidFill>
              <a:effectLst/>
              <a:latin typeface="+mn-lt"/>
              <a:ea typeface="+mn-ea"/>
              <a:cs typeface="+mn-cs"/>
            </a:rPr>
            <a:t>3</a:t>
          </a:r>
          <a:r>
            <a:rPr kumimoji="1" lang="ja-JP" altLang="ja-JP" sz="800">
              <a:solidFill>
                <a:schemeClr val="tx1"/>
              </a:solidFill>
              <a:effectLst/>
              <a:latin typeface="+mn-lt"/>
              <a:ea typeface="+mn-ea"/>
              <a:cs typeface="+mn-cs"/>
            </a:rPr>
            <a:t>栓同時使用（トイレ・台所・洗濯機）</a:t>
          </a:r>
          <a:r>
            <a:rPr kumimoji="1" lang="ja-JP" altLang="en-US" sz="800">
              <a:solidFill>
                <a:schemeClr val="tx1"/>
              </a:solidFill>
              <a:effectLst/>
              <a:latin typeface="+mn-lt"/>
              <a:ea typeface="+mn-ea"/>
              <a:cs typeface="+mn-cs"/>
            </a:rPr>
            <a:t>　</a:t>
          </a:r>
          <a:r>
            <a:rPr kumimoji="1" lang="ja-JP" altLang="ja-JP" sz="800">
              <a:solidFill>
                <a:schemeClr val="tx1"/>
              </a:solidFill>
              <a:effectLst/>
              <a:latin typeface="+mn-lt"/>
              <a:ea typeface="+mn-ea"/>
              <a:cs typeface="+mn-cs"/>
            </a:rPr>
            <a:t>：サドル～ヘッダー</a:t>
          </a:r>
          <a:endParaRPr kumimoji="1" lang="en-US" altLang="ja-JP" sz="800">
            <a:solidFill>
              <a:schemeClr val="tx1"/>
            </a:solidFill>
            <a:effectLst/>
            <a:latin typeface="+mn-lt"/>
            <a:ea typeface="+mn-ea"/>
            <a:cs typeface="+mn-cs"/>
          </a:endParaRPr>
        </a:p>
        <a:p>
          <a:r>
            <a:rPr kumimoji="1" lang="ja-JP" altLang="en-US" sz="800">
              <a:solidFill>
                <a:schemeClr val="tx1"/>
              </a:solidFill>
              <a:effectLst/>
              <a:latin typeface="+mn-lt"/>
              <a:ea typeface="+mn-ea"/>
              <a:cs typeface="+mn-cs"/>
            </a:rPr>
            <a:t>　</a:t>
          </a:r>
          <a:r>
            <a:rPr kumimoji="1" lang="en-US" altLang="ja-JP" sz="800"/>
            <a:t>1</a:t>
          </a:r>
          <a:r>
            <a:rPr kumimoji="1" lang="ja-JP" altLang="en-US" sz="800"/>
            <a:t>栓同時使用（トイレ）：ヘッダー～</a:t>
          </a:r>
          <a:r>
            <a:rPr kumimoji="1" lang="en-US" altLang="ja-JP" sz="800"/>
            <a:t>2F</a:t>
          </a:r>
          <a:r>
            <a:rPr kumimoji="1" lang="ja-JP" altLang="en-US" sz="800"/>
            <a:t>トイレ</a:t>
          </a:r>
          <a:endParaRPr kumimoji="1" lang="en-US" altLang="ja-JP" sz="800"/>
        </a:p>
        <a:p>
          <a:r>
            <a:rPr kumimoji="1" lang="ja-JP" altLang="en-US" sz="800"/>
            <a:t>　</a:t>
          </a:r>
        </a:p>
      </xdr:txBody>
    </xdr:sp>
    <xdr:clientData/>
  </xdr:oneCellAnchor>
  <xdr:oneCellAnchor>
    <xdr:from>
      <xdr:col>14</xdr:col>
      <xdr:colOff>596745</xdr:colOff>
      <xdr:row>12</xdr:row>
      <xdr:rowOff>11474</xdr:rowOff>
    </xdr:from>
    <xdr:ext cx="1195455" cy="267381"/>
    <xdr:sp macro="" textlink="">
      <xdr:nvSpPr>
        <xdr:cNvPr id="27" name="テキスト ボックス 26"/>
        <xdr:cNvSpPr txBox="1"/>
      </xdr:nvSpPr>
      <xdr:spPr>
        <a:xfrm>
          <a:off x="11870126" y="1810996"/>
          <a:ext cx="119545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solidFill>
                <a:schemeClr val="accent5">
                  <a:lumMod val="75000"/>
                </a:schemeClr>
              </a:solidFill>
            </a:rPr>
            <a:t>1</a:t>
          </a:r>
          <a:r>
            <a:rPr kumimoji="1" lang="ja-JP" altLang="en-US" sz="1050">
              <a:solidFill>
                <a:schemeClr val="accent5">
                  <a:lumMod val="75000"/>
                </a:schemeClr>
              </a:solidFill>
            </a:rPr>
            <a:t>栓同時使用区間</a:t>
          </a:r>
        </a:p>
      </xdr:txBody>
    </xdr:sp>
    <xdr:clientData/>
  </xdr:oneCellAnchor>
  <xdr:oneCellAnchor>
    <xdr:from>
      <xdr:col>12</xdr:col>
      <xdr:colOff>528474</xdr:colOff>
      <xdr:row>8</xdr:row>
      <xdr:rowOff>121910</xdr:rowOff>
    </xdr:from>
    <xdr:ext cx="1243610" cy="275717"/>
    <xdr:sp macro="" textlink="">
      <xdr:nvSpPr>
        <xdr:cNvPr id="28" name="テキスト ボックス 27"/>
        <xdr:cNvSpPr txBox="1"/>
      </xdr:nvSpPr>
      <xdr:spPr>
        <a:xfrm>
          <a:off x="8877428" y="1356272"/>
          <a:ext cx="124361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accent1">
                  <a:lumMod val="75000"/>
                </a:schemeClr>
              </a:solidFill>
            </a:rPr>
            <a:t>3</a:t>
          </a:r>
          <a:r>
            <a:rPr kumimoji="1" lang="ja-JP" altLang="en-US" sz="1100">
              <a:solidFill>
                <a:schemeClr val="accent1">
                  <a:lumMod val="75000"/>
                </a:schemeClr>
              </a:solidFill>
            </a:rPr>
            <a:t>栓同時使用区間</a:t>
          </a:r>
        </a:p>
      </xdr:txBody>
    </xdr:sp>
    <xdr:clientData/>
  </xdr:oneCellAnchor>
  <xdr:twoCellAnchor>
    <xdr:from>
      <xdr:col>16</xdr:col>
      <xdr:colOff>19440</xdr:colOff>
      <xdr:row>17</xdr:row>
      <xdr:rowOff>106913</xdr:rowOff>
    </xdr:from>
    <xdr:to>
      <xdr:col>16</xdr:col>
      <xdr:colOff>349898</xdr:colOff>
      <xdr:row>18</xdr:row>
      <xdr:rowOff>77752</xdr:rowOff>
    </xdr:to>
    <xdr:sp macro="" textlink="">
      <xdr:nvSpPr>
        <xdr:cNvPr id="34" name="楕円 33"/>
        <xdr:cNvSpPr/>
      </xdr:nvSpPr>
      <xdr:spPr>
        <a:xfrm>
          <a:off x="11128700" y="3139362"/>
          <a:ext cx="330458" cy="145788"/>
        </a:xfrm>
        <a:prstGeom prst="ellipse">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622041</xdr:colOff>
      <xdr:row>30</xdr:row>
      <xdr:rowOff>38877</xdr:rowOff>
    </xdr:from>
    <xdr:to>
      <xdr:col>15</xdr:col>
      <xdr:colOff>262422</xdr:colOff>
      <xdr:row>31</xdr:row>
      <xdr:rowOff>9716</xdr:rowOff>
    </xdr:to>
    <xdr:sp macro="" textlink="">
      <xdr:nvSpPr>
        <xdr:cNvPr id="39" name="楕円 38"/>
        <xdr:cNvSpPr/>
      </xdr:nvSpPr>
      <xdr:spPr>
        <a:xfrm>
          <a:off x="10351148" y="5170714"/>
          <a:ext cx="330458"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432514</xdr:colOff>
      <xdr:row>40</xdr:row>
      <xdr:rowOff>111772</xdr:rowOff>
    </xdr:from>
    <xdr:to>
      <xdr:col>16</xdr:col>
      <xdr:colOff>578302</xdr:colOff>
      <xdr:row>40</xdr:row>
      <xdr:rowOff>442230</xdr:rowOff>
    </xdr:to>
    <xdr:sp macro="" textlink="">
      <xdr:nvSpPr>
        <xdr:cNvPr id="40" name="楕円 39"/>
        <xdr:cNvSpPr/>
      </xdr:nvSpPr>
      <xdr:spPr>
        <a:xfrm rot="5400000">
          <a:off x="11449439" y="6298163"/>
          <a:ext cx="330458"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500550</xdr:colOff>
      <xdr:row>20</xdr:row>
      <xdr:rowOff>4858</xdr:rowOff>
    </xdr:from>
    <xdr:to>
      <xdr:col>12</xdr:col>
      <xdr:colOff>646338</xdr:colOff>
      <xdr:row>21</xdr:row>
      <xdr:rowOff>160367</xdr:rowOff>
    </xdr:to>
    <xdr:sp macro="" textlink="">
      <xdr:nvSpPr>
        <xdr:cNvPr id="41" name="楕円 40"/>
        <xdr:cNvSpPr/>
      </xdr:nvSpPr>
      <xdr:spPr>
        <a:xfrm rot="5400000">
          <a:off x="8757169" y="3654489"/>
          <a:ext cx="330458"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451758</xdr:colOff>
      <xdr:row>49</xdr:row>
      <xdr:rowOff>92334</xdr:rowOff>
    </xdr:from>
    <xdr:to>
      <xdr:col>16</xdr:col>
      <xdr:colOff>597546</xdr:colOff>
      <xdr:row>51</xdr:row>
      <xdr:rowOff>72894</xdr:rowOff>
    </xdr:to>
    <xdr:sp macro="" textlink="">
      <xdr:nvSpPr>
        <xdr:cNvPr id="43" name="楕円 42"/>
        <xdr:cNvSpPr/>
      </xdr:nvSpPr>
      <xdr:spPr>
        <a:xfrm rot="5400000">
          <a:off x="12993072" y="8258370"/>
          <a:ext cx="323460"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485974</xdr:colOff>
      <xdr:row>9</xdr:row>
      <xdr:rowOff>165215</xdr:rowOff>
    </xdr:from>
    <xdr:to>
      <xdr:col>14</xdr:col>
      <xdr:colOff>126356</xdr:colOff>
      <xdr:row>10</xdr:row>
      <xdr:rowOff>136054</xdr:rowOff>
    </xdr:to>
    <xdr:sp macro="" textlink="">
      <xdr:nvSpPr>
        <xdr:cNvPr id="47" name="楕円 46"/>
        <xdr:cNvSpPr/>
      </xdr:nvSpPr>
      <xdr:spPr>
        <a:xfrm>
          <a:off x="9525005" y="1574526"/>
          <a:ext cx="330458"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592887</xdr:colOff>
      <xdr:row>30</xdr:row>
      <xdr:rowOff>9721</xdr:rowOff>
    </xdr:from>
    <xdr:to>
      <xdr:col>13</xdr:col>
      <xdr:colOff>233268</xdr:colOff>
      <xdr:row>30</xdr:row>
      <xdr:rowOff>155509</xdr:rowOff>
    </xdr:to>
    <xdr:sp macro="" textlink="">
      <xdr:nvSpPr>
        <xdr:cNvPr id="48" name="楕円 47"/>
        <xdr:cNvSpPr/>
      </xdr:nvSpPr>
      <xdr:spPr>
        <a:xfrm>
          <a:off x="8941841" y="5141558"/>
          <a:ext cx="330458"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524850</xdr:colOff>
      <xdr:row>31</xdr:row>
      <xdr:rowOff>9714</xdr:rowOff>
    </xdr:from>
    <xdr:to>
      <xdr:col>11</xdr:col>
      <xdr:colOff>622044</xdr:colOff>
      <xdr:row>31</xdr:row>
      <xdr:rowOff>77753</xdr:rowOff>
    </xdr:to>
    <xdr:sp macro="" textlink="">
      <xdr:nvSpPr>
        <xdr:cNvPr id="35" name="星 5 34"/>
        <xdr:cNvSpPr/>
      </xdr:nvSpPr>
      <xdr:spPr>
        <a:xfrm>
          <a:off x="8183728" y="5316500"/>
          <a:ext cx="97194" cy="68039"/>
        </a:xfrm>
        <a:prstGeom prst="star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631763</xdr:colOff>
      <xdr:row>18</xdr:row>
      <xdr:rowOff>97187</xdr:rowOff>
    </xdr:from>
    <xdr:to>
      <xdr:col>14</xdr:col>
      <xdr:colOff>38881</xdr:colOff>
      <xdr:row>18</xdr:row>
      <xdr:rowOff>165226</xdr:rowOff>
    </xdr:to>
    <xdr:sp macro="" textlink="">
      <xdr:nvSpPr>
        <xdr:cNvPr id="55" name="星 5 54"/>
        <xdr:cNvSpPr/>
      </xdr:nvSpPr>
      <xdr:spPr>
        <a:xfrm>
          <a:off x="9670794" y="3304585"/>
          <a:ext cx="97194" cy="68039"/>
        </a:xfrm>
        <a:prstGeom prst="star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19439</xdr:colOff>
      <xdr:row>11</xdr:row>
      <xdr:rowOff>29148</xdr:rowOff>
    </xdr:from>
    <xdr:to>
      <xdr:col>14</xdr:col>
      <xdr:colOff>116633</xdr:colOff>
      <xdr:row>12</xdr:row>
      <xdr:rowOff>48587</xdr:rowOff>
    </xdr:to>
    <xdr:sp macro="" textlink="">
      <xdr:nvSpPr>
        <xdr:cNvPr id="56" name="星 5 55"/>
        <xdr:cNvSpPr/>
      </xdr:nvSpPr>
      <xdr:spPr>
        <a:xfrm>
          <a:off x="9748546" y="1788357"/>
          <a:ext cx="97194" cy="77756"/>
        </a:xfrm>
        <a:prstGeom prst="star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103399</xdr:colOff>
      <xdr:row>2</xdr:row>
      <xdr:rowOff>39592</xdr:rowOff>
    </xdr:from>
    <xdr:to>
      <xdr:col>18</xdr:col>
      <xdr:colOff>126352</xdr:colOff>
      <xdr:row>59</xdr:row>
      <xdr:rowOff>67537</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7149" y="458692"/>
          <a:ext cx="6880953" cy="9638670"/>
        </a:xfrm>
        <a:prstGeom prst="rect">
          <a:avLst/>
        </a:prstGeom>
      </xdr:spPr>
    </xdr:pic>
    <xdr:clientData/>
  </xdr:twoCellAnchor>
  <xdr:twoCellAnchor>
    <xdr:from>
      <xdr:col>12</xdr:col>
      <xdr:colOff>602605</xdr:colOff>
      <xdr:row>9</xdr:row>
      <xdr:rowOff>155510</xdr:rowOff>
    </xdr:from>
    <xdr:to>
      <xdr:col>16</xdr:col>
      <xdr:colOff>371476</xdr:colOff>
      <xdr:row>52</xdr:row>
      <xdr:rowOff>95250</xdr:rowOff>
    </xdr:to>
    <xdr:cxnSp macro="">
      <xdr:nvCxnSpPr>
        <xdr:cNvPr id="3" name="カギ線コネクタ 2"/>
        <xdr:cNvCxnSpPr/>
      </xdr:nvCxnSpPr>
      <xdr:spPr>
        <a:xfrm rot="16200000" flipV="1">
          <a:off x="9770708" y="3846157"/>
          <a:ext cx="7112065" cy="2512071"/>
        </a:xfrm>
        <a:prstGeom prst="bentConnector3">
          <a:avLst>
            <a:gd name="adj1" fmla="val 47723"/>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399515</xdr:colOff>
      <xdr:row>12</xdr:row>
      <xdr:rowOff>235256</xdr:rowOff>
    </xdr:from>
    <xdr:to>
      <xdr:col>16</xdr:col>
      <xdr:colOff>399515</xdr:colOff>
      <xdr:row>18</xdr:row>
      <xdr:rowOff>56289</xdr:rowOff>
    </xdr:to>
    <xdr:cxnSp macro="">
      <xdr:nvCxnSpPr>
        <xdr:cNvPr id="4" name="直線コネクタ 3"/>
        <xdr:cNvCxnSpPr/>
      </xdr:nvCxnSpPr>
      <xdr:spPr>
        <a:xfrm>
          <a:off x="13029665" y="2025956"/>
          <a:ext cx="0" cy="1192633"/>
        </a:xfrm>
        <a:prstGeom prst="line">
          <a:avLst/>
        </a:prstGeom>
        <a:ln>
          <a:headEnd type="none" w="med" len="med"/>
          <a:tailEnd type="arrow" w="med" len="med"/>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16</xdr:col>
      <xdr:colOff>393146</xdr:colOff>
      <xdr:row>18</xdr:row>
      <xdr:rowOff>44748</xdr:rowOff>
    </xdr:from>
    <xdr:to>
      <xdr:col>16</xdr:col>
      <xdr:colOff>538239</xdr:colOff>
      <xdr:row>18</xdr:row>
      <xdr:rowOff>49766</xdr:rowOff>
    </xdr:to>
    <xdr:cxnSp macro="">
      <xdr:nvCxnSpPr>
        <xdr:cNvPr id="5" name="直線コネクタ 4"/>
        <xdr:cNvCxnSpPr/>
      </xdr:nvCxnSpPr>
      <xdr:spPr>
        <a:xfrm>
          <a:off x="13023296" y="3207048"/>
          <a:ext cx="145093" cy="5018"/>
        </a:xfrm>
        <a:prstGeom prst="line">
          <a:avLst/>
        </a:prstGeom>
        <a:ln>
          <a:headEnd type="none" w="med" len="med"/>
          <a:tailEnd type="arrow" w="med" len="med"/>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12</xdr:col>
      <xdr:colOff>176147</xdr:colOff>
      <xdr:row>30</xdr:row>
      <xdr:rowOff>29358</xdr:rowOff>
    </xdr:from>
    <xdr:to>
      <xdr:col>12</xdr:col>
      <xdr:colOff>257697</xdr:colOff>
      <xdr:row>30</xdr:row>
      <xdr:rowOff>163099</xdr:rowOff>
    </xdr:to>
    <xdr:cxnSp macro="">
      <xdr:nvCxnSpPr>
        <xdr:cNvPr id="6" name="直線コネクタ 5"/>
        <xdr:cNvCxnSpPr/>
      </xdr:nvCxnSpPr>
      <xdr:spPr>
        <a:xfrm flipH="1">
          <a:off x="10063097" y="5077608"/>
          <a:ext cx="81550" cy="133741"/>
        </a:xfrm>
        <a:prstGeom prst="line">
          <a:avLst/>
        </a:prstGeom>
      </xdr:spPr>
      <xdr:style>
        <a:lnRef idx="2">
          <a:schemeClr val="accent5"/>
        </a:lnRef>
        <a:fillRef idx="0">
          <a:schemeClr val="accent5"/>
        </a:fillRef>
        <a:effectRef idx="1">
          <a:schemeClr val="accent5"/>
        </a:effectRef>
        <a:fontRef idx="minor">
          <a:schemeClr val="tx1"/>
        </a:fontRef>
      </xdr:style>
    </xdr:cxnSp>
    <xdr:clientData/>
  </xdr:twoCellAnchor>
  <xdr:twoCellAnchor>
    <xdr:from>
      <xdr:col>12</xdr:col>
      <xdr:colOff>176147</xdr:colOff>
      <xdr:row>30</xdr:row>
      <xdr:rowOff>159837</xdr:rowOff>
    </xdr:from>
    <xdr:to>
      <xdr:col>12</xdr:col>
      <xdr:colOff>176147</xdr:colOff>
      <xdr:row>31</xdr:row>
      <xdr:rowOff>140265</xdr:rowOff>
    </xdr:to>
    <xdr:cxnSp macro="">
      <xdr:nvCxnSpPr>
        <xdr:cNvPr id="7" name="直線コネクタ 6"/>
        <xdr:cNvCxnSpPr/>
      </xdr:nvCxnSpPr>
      <xdr:spPr>
        <a:xfrm>
          <a:off x="10063097" y="5208087"/>
          <a:ext cx="0" cy="151878"/>
        </a:xfrm>
        <a:prstGeom prst="line">
          <a:avLst/>
        </a:prstGeom>
        <a:ln>
          <a:headEnd type="none" w="med" len="med"/>
          <a:tailEnd type="arrow" w="med" len="med"/>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12</xdr:col>
      <xdr:colOff>361949</xdr:colOff>
      <xdr:row>32</xdr:row>
      <xdr:rowOff>95250</xdr:rowOff>
    </xdr:from>
    <xdr:to>
      <xdr:col>16</xdr:col>
      <xdr:colOff>238124</xdr:colOff>
      <xdr:row>45</xdr:row>
      <xdr:rowOff>38100</xdr:rowOff>
    </xdr:to>
    <xdr:sp macro="" textlink="">
      <xdr:nvSpPr>
        <xdr:cNvPr id="8" name="角丸四角形吹き出し 7"/>
        <xdr:cNvSpPr/>
      </xdr:nvSpPr>
      <xdr:spPr>
        <a:xfrm>
          <a:off x="10248899" y="5486400"/>
          <a:ext cx="2619375" cy="1571625"/>
        </a:xfrm>
        <a:prstGeom prst="wedgeRoundRectCallout">
          <a:avLst>
            <a:gd name="adj1" fmla="val 52697"/>
            <a:gd name="adj2" fmla="val 129962"/>
            <a:gd name="adj3" fmla="val 16667"/>
          </a:avLst>
        </a:prstGeom>
        <a:solidFill>
          <a:srgbClr val="FFFFFF"/>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400050</xdr:colOff>
      <xdr:row>32</xdr:row>
      <xdr:rowOff>145791</xdr:rowOff>
    </xdr:from>
    <xdr:ext cx="2476889" cy="1487067"/>
    <xdr:sp macro="" textlink="">
      <xdr:nvSpPr>
        <xdr:cNvPr id="9" name="テキスト ボックス 8"/>
        <xdr:cNvSpPr txBox="1"/>
      </xdr:nvSpPr>
      <xdr:spPr>
        <a:xfrm>
          <a:off x="10287000" y="5536941"/>
          <a:ext cx="2476889" cy="14870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u="sng"/>
            <a:t>分岐から末端水栓までの経路とは</a:t>
          </a:r>
          <a:endParaRPr kumimoji="1" lang="en-US" altLang="ja-JP" sz="1000" u="sng"/>
        </a:p>
        <a:p>
          <a:endParaRPr kumimoji="1" lang="en-US" altLang="ja-JP" sz="1000" u="sng"/>
        </a:p>
        <a:p>
          <a:r>
            <a:rPr kumimoji="1" lang="ja-JP" altLang="en-US" sz="900" u="none"/>
            <a:t>配水管の分岐点から一番遠くにある</a:t>
          </a:r>
          <a:endParaRPr kumimoji="1" lang="en-US" altLang="ja-JP" sz="900" u="none"/>
        </a:p>
        <a:p>
          <a:r>
            <a:rPr kumimoji="1" lang="ja-JP" altLang="en-US" sz="900" u="none"/>
            <a:t>　　　　　　　　　　　　　水栓までの経路のこと</a:t>
          </a:r>
          <a:endParaRPr kumimoji="1" lang="en-US" altLang="ja-JP" sz="900" u="none"/>
        </a:p>
        <a:p>
          <a:r>
            <a:rPr kumimoji="1" lang="ja-JP" altLang="en-US" sz="900" u="none"/>
            <a:t>（参考例の場合：サドル分水栓～</a:t>
          </a:r>
          <a:r>
            <a:rPr kumimoji="1" lang="en-US" altLang="ja-JP" sz="900" u="none"/>
            <a:t>2</a:t>
          </a:r>
          <a:r>
            <a:rPr kumimoji="1" lang="ja-JP" altLang="en-US" sz="900" u="none"/>
            <a:t>階トイレ）</a:t>
          </a:r>
          <a:endParaRPr kumimoji="1" lang="en-US" altLang="ja-JP" sz="900" u="none"/>
        </a:p>
        <a:p>
          <a:endParaRPr kumimoji="1" lang="en-US" altLang="ja-JP" sz="900" u="none"/>
        </a:p>
        <a:p>
          <a:r>
            <a:rPr kumimoji="1" lang="ja-JP" altLang="en-US" sz="900" u="none"/>
            <a:t>改造工事の場合についても、</a:t>
          </a:r>
          <a:endParaRPr kumimoji="1" lang="en-US" altLang="ja-JP" sz="900" u="none"/>
        </a:p>
        <a:p>
          <a:r>
            <a:rPr kumimoji="1" lang="ja-JP" altLang="en-US" sz="900" u="none"/>
            <a:t>必ず配水管分岐点からの延長を考慮すること</a:t>
          </a:r>
        </a:p>
      </xdr:txBody>
    </xdr:sp>
    <xdr:clientData/>
  </xdr:oneCellAnchor>
  <xdr:twoCellAnchor>
    <xdr:from>
      <xdr:col>8</xdr:col>
      <xdr:colOff>227005</xdr:colOff>
      <xdr:row>6</xdr:row>
      <xdr:rowOff>29421</xdr:rowOff>
    </xdr:from>
    <xdr:to>
      <xdr:col>12</xdr:col>
      <xdr:colOff>326921</xdr:colOff>
      <xdr:row>20</xdr:row>
      <xdr:rowOff>48859</xdr:rowOff>
    </xdr:to>
    <xdr:sp macro="" textlink="">
      <xdr:nvSpPr>
        <xdr:cNvPr id="10" name="正方形/長方形 9"/>
        <xdr:cNvSpPr/>
      </xdr:nvSpPr>
      <xdr:spPr>
        <a:xfrm>
          <a:off x="7370755" y="1020021"/>
          <a:ext cx="2843116" cy="2534038"/>
        </a:xfrm>
        <a:prstGeom prst="rect">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2222221</a:t>
          </a:r>
          <a:endParaRPr kumimoji="1" lang="ja-JP" altLang="en-US" sz="1100"/>
        </a:p>
      </xdr:txBody>
    </xdr:sp>
    <xdr:clientData/>
  </xdr:twoCellAnchor>
  <xdr:oneCellAnchor>
    <xdr:from>
      <xdr:col>8</xdr:col>
      <xdr:colOff>494912</xdr:colOff>
      <xdr:row>9</xdr:row>
      <xdr:rowOff>106134</xdr:rowOff>
    </xdr:from>
    <xdr:ext cx="2316724" cy="1009251"/>
    <xdr:sp macro="" textlink="">
      <xdr:nvSpPr>
        <xdr:cNvPr id="11" name="テキスト ボックス 10"/>
        <xdr:cNvSpPr txBox="1"/>
      </xdr:nvSpPr>
      <xdr:spPr>
        <a:xfrm>
          <a:off x="7638662" y="1496784"/>
          <a:ext cx="2316724" cy="100925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参考例</a:t>
          </a:r>
          <a:r>
            <a:rPr kumimoji="1" lang="en-US" altLang="ja-JP" sz="1100"/>
            <a:t>】</a:t>
          </a:r>
        </a:p>
        <a:p>
          <a:r>
            <a:rPr kumimoji="1" lang="en-US" altLang="ja-JP" sz="1100"/>
            <a:t>2</a:t>
          </a:r>
          <a:r>
            <a:rPr kumimoji="1" lang="ja-JP" altLang="en-US" sz="1100"/>
            <a:t>階建て　</a:t>
          </a:r>
          <a:r>
            <a:rPr kumimoji="1" lang="en-US" altLang="ja-JP" sz="1100"/>
            <a:t>13</a:t>
          </a:r>
          <a:r>
            <a:rPr kumimoji="1" lang="ja-JP" altLang="en-US" sz="1100"/>
            <a:t>㎜（直結止水栓</a:t>
          </a:r>
          <a:r>
            <a:rPr kumimoji="1" lang="en-US" altLang="ja-JP" sz="1100"/>
            <a:t>20×13</a:t>
          </a:r>
          <a:r>
            <a:rPr kumimoji="1" lang="ja-JP" altLang="en-US" sz="1100"/>
            <a:t>）</a:t>
          </a:r>
          <a:endParaRPr kumimoji="1" lang="en-US" altLang="ja-JP" sz="1100"/>
        </a:p>
        <a:p>
          <a:r>
            <a:rPr kumimoji="1" lang="ja-JP" altLang="en-US" sz="1100"/>
            <a:t>現地水圧　</a:t>
          </a:r>
          <a:r>
            <a:rPr kumimoji="1" lang="en-US" altLang="ja-JP" sz="1100"/>
            <a:t>0.4Mpa</a:t>
          </a:r>
        </a:p>
        <a:p>
          <a:r>
            <a:rPr kumimoji="1" lang="ja-JP" altLang="en-US" sz="1100"/>
            <a:t>水栓数　</a:t>
          </a:r>
          <a:r>
            <a:rPr kumimoji="1" lang="en-US" altLang="ja-JP" sz="1100"/>
            <a:t>8</a:t>
          </a:r>
          <a:r>
            <a:rPr kumimoji="1" lang="ja-JP" altLang="en-US" sz="1100"/>
            <a:t>栓</a:t>
          </a:r>
          <a:endParaRPr kumimoji="1" lang="en-US" altLang="ja-JP" sz="1100"/>
        </a:p>
        <a:p>
          <a:r>
            <a:rPr kumimoji="1" lang="ja-JP" altLang="en-US" sz="1100"/>
            <a:t>末端水栓　</a:t>
          </a:r>
          <a:r>
            <a:rPr kumimoji="1" lang="en-US" altLang="ja-JP" sz="1100"/>
            <a:t>2</a:t>
          </a:r>
          <a:r>
            <a:rPr kumimoji="1" lang="ja-JP" altLang="en-US" sz="1100"/>
            <a:t>階トイレ</a:t>
          </a:r>
          <a:endParaRPr kumimoji="1" lang="en-US" altLang="ja-JP" sz="1100"/>
        </a:p>
      </xdr:txBody>
    </xdr:sp>
    <xdr:clientData/>
  </xdr:oneCellAnchor>
  <xdr:twoCellAnchor>
    <xdr:from>
      <xdr:col>12</xdr:col>
      <xdr:colOff>602485</xdr:colOff>
      <xdr:row>9</xdr:row>
      <xdr:rowOff>166519</xdr:rowOff>
    </xdr:from>
    <xdr:to>
      <xdr:col>14</xdr:col>
      <xdr:colOff>286898</xdr:colOff>
      <xdr:row>9</xdr:row>
      <xdr:rowOff>166519</xdr:rowOff>
    </xdr:to>
    <xdr:cxnSp macro="">
      <xdr:nvCxnSpPr>
        <xdr:cNvPr id="12" name="直線コネクタ 11"/>
        <xdr:cNvCxnSpPr/>
      </xdr:nvCxnSpPr>
      <xdr:spPr>
        <a:xfrm>
          <a:off x="10489435" y="1557169"/>
          <a:ext cx="1056013"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298374</xdr:colOff>
      <xdr:row>9</xdr:row>
      <xdr:rowOff>155510</xdr:rowOff>
    </xdr:from>
    <xdr:to>
      <xdr:col>14</xdr:col>
      <xdr:colOff>298374</xdr:colOff>
      <xdr:row>12</xdr:row>
      <xdr:rowOff>235256</xdr:rowOff>
    </xdr:to>
    <xdr:cxnSp macro="">
      <xdr:nvCxnSpPr>
        <xdr:cNvPr id="13" name="直線コネクタ 12"/>
        <xdr:cNvCxnSpPr/>
      </xdr:nvCxnSpPr>
      <xdr:spPr>
        <a:xfrm>
          <a:off x="11556924" y="1546160"/>
          <a:ext cx="0" cy="479796"/>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298374</xdr:colOff>
      <xdr:row>12</xdr:row>
      <xdr:rowOff>235256</xdr:rowOff>
    </xdr:from>
    <xdr:to>
      <xdr:col>16</xdr:col>
      <xdr:colOff>418716</xdr:colOff>
      <xdr:row>12</xdr:row>
      <xdr:rowOff>236527</xdr:rowOff>
    </xdr:to>
    <xdr:cxnSp macro="">
      <xdr:nvCxnSpPr>
        <xdr:cNvPr id="14" name="直線コネクタ 13"/>
        <xdr:cNvCxnSpPr/>
      </xdr:nvCxnSpPr>
      <xdr:spPr>
        <a:xfrm>
          <a:off x="11556924" y="2025956"/>
          <a:ext cx="1491942" cy="1271"/>
        </a:xfrm>
        <a:prstGeom prst="line">
          <a:avLst/>
        </a:prstGeom>
      </xdr:spPr>
      <xdr:style>
        <a:lnRef idx="2">
          <a:schemeClr val="accent5"/>
        </a:lnRef>
        <a:fillRef idx="0">
          <a:schemeClr val="accent5"/>
        </a:fillRef>
        <a:effectRef idx="1">
          <a:schemeClr val="accent5"/>
        </a:effectRef>
        <a:fontRef idx="minor">
          <a:schemeClr val="tx1"/>
        </a:fontRef>
      </xdr:style>
    </xdr:cxnSp>
    <xdr:clientData/>
  </xdr:twoCellAnchor>
  <xdr:oneCellAnchor>
    <xdr:from>
      <xdr:col>8</xdr:col>
      <xdr:colOff>281862</xdr:colOff>
      <xdr:row>15</xdr:row>
      <xdr:rowOff>127722</xdr:rowOff>
    </xdr:from>
    <xdr:ext cx="2983852" cy="1031436"/>
    <xdr:sp macro="" textlink="">
      <xdr:nvSpPr>
        <xdr:cNvPr id="15" name="テキスト ボックス 14"/>
        <xdr:cNvSpPr txBox="1"/>
      </xdr:nvSpPr>
      <xdr:spPr>
        <a:xfrm>
          <a:off x="7425612" y="2775672"/>
          <a:ext cx="2983852" cy="1031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☆同時使用水栓</a:t>
          </a:r>
          <a:r>
            <a:rPr kumimoji="1" lang="en-US" altLang="ja-JP" sz="1100"/>
            <a:t>3</a:t>
          </a:r>
          <a:r>
            <a:rPr kumimoji="1" lang="ja-JP" altLang="en-US" sz="1100"/>
            <a:t>栓☆</a:t>
          </a:r>
          <a:endParaRPr kumimoji="1" lang="en-US" altLang="ja-JP" sz="1100"/>
        </a:p>
        <a:p>
          <a:r>
            <a:rPr kumimoji="1" lang="ja-JP" altLang="en-US" sz="1100"/>
            <a:t>　　　</a:t>
          </a:r>
          <a:r>
            <a:rPr kumimoji="1" lang="en-US" altLang="ja-JP" sz="1100"/>
            <a:t>2</a:t>
          </a:r>
          <a:r>
            <a:rPr kumimoji="1" lang="ja-JP" altLang="en-US" sz="1100"/>
            <a:t>階トイレ・台所流し・洗濯機と設定</a:t>
          </a:r>
          <a:endParaRPr kumimoji="1" lang="en-US" altLang="ja-JP" sz="1100"/>
        </a:p>
        <a:p>
          <a:endParaRPr kumimoji="1" lang="en-US" altLang="ja-JP" sz="1100"/>
        </a:p>
        <a:p>
          <a:r>
            <a:rPr kumimoji="1" lang="ja-JP" altLang="en-US" sz="800"/>
            <a:t>　</a:t>
          </a:r>
          <a:r>
            <a:rPr kumimoji="1" lang="en-US" altLang="ja-JP" sz="800">
              <a:solidFill>
                <a:schemeClr val="tx1"/>
              </a:solidFill>
              <a:effectLst/>
              <a:latin typeface="+mn-lt"/>
              <a:ea typeface="+mn-ea"/>
              <a:cs typeface="+mn-cs"/>
            </a:rPr>
            <a:t>3</a:t>
          </a:r>
          <a:r>
            <a:rPr kumimoji="1" lang="ja-JP" altLang="ja-JP" sz="800">
              <a:solidFill>
                <a:schemeClr val="tx1"/>
              </a:solidFill>
              <a:effectLst/>
              <a:latin typeface="+mn-lt"/>
              <a:ea typeface="+mn-ea"/>
              <a:cs typeface="+mn-cs"/>
            </a:rPr>
            <a:t>栓同時使用（トイレ・台所・洗濯機）</a:t>
          </a:r>
          <a:r>
            <a:rPr kumimoji="1" lang="ja-JP" altLang="en-US" sz="800">
              <a:solidFill>
                <a:schemeClr val="tx1"/>
              </a:solidFill>
              <a:effectLst/>
              <a:latin typeface="+mn-lt"/>
              <a:ea typeface="+mn-ea"/>
              <a:cs typeface="+mn-cs"/>
            </a:rPr>
            <a:t>　</a:t>
          </a:r>
          <a:r>
            <a:rPr kumimoji="1" lang="ja-JP" altLang="ja-JP" sz="800">
              <a:solidFill>
                <a:schemeClr val="tx1"/>
              </a:solidFill>
              <a:effectLst/>
              <a:latin typeface="+mn-lt"/>
              <a:ea typeface="+mn-ea"/>
              <a:cs typeface="+mn-cs"/>
            </a:rPr>
            <a:t>：サドル～ヘッダー</a:t>
          </a:r>
          <a:endParaRPr kumimoji="1" lang="en-US" altLang="ja-JP" sz="800">
            <a:solidFill>
              <a:schemeClr val="tx1"/>
            </a:solidFill>
            <a:effectLst/>
            <a:latin typeface="+mn-lt"/>
            <a:ea typeface="+mn-ea"/>
            <a:cs typeface="+mn-cs"/>
          </a:endParaRPr>
        </a:p>
        <a:p>
          <a:r>
            <a:rPr kumimoji="1" lang="ja-JP" altLang="en-US" sz="800">
              <a:solidFill>
                <a:schemeClr val="tx1"/>
              </a:solidFill>
              <a:effectLst/>
              <a:latin typeface="+mn-lt"/>
              <a:ea typeface="+mn-ea"/>
              <a:cs typeface="+mn-cs"/>
            </a:rPr>
            <a:t>　</a:t>
          </a:r>
          <a:r>
            <a:rPr kumimoji="1" lang="en-US" altLang="ja-JP" sz="800"/>
            <a:t>1</a:t>
          </a:r>
          <a:r>
            <a:rPr kumimoji="1" lang="ja-JP" altLang="en-US" sz="800"/>
            <a:t>栓同時使用（トイレ）：ヘッダー～</a:t>
          </a:r>
          <a:r>
            <a:rPr kumimoji="1" lang="en-US" altLang="ja-JP" sz="800"/>
            <a:t>2F</a:t>
          </a:r>
          <a:r>
            <a:rPr kumimoji="1" lang="ja-JP" altLang="en-US" sz="800"/>
            <a:t>トイレ</a:t>
          </a:r>
          <a:endParaRPr kumimoji="1" lang="en-US" altLang="ja-JP" sz="800"/>
        </a:p>
        <a:p>
          <a:r>
            <a:rPr kumimoji="1" lang="ja-JP" altLang="en-US" sz="800"/>
            <a:t>　</a:t>
          </a:r>
        </a:p>
      </xdr:txBody>
    </xdr:sp>
    <xdr:clientData/>
  </xdr:oneCellAnchor>
  <xdr:oneCellAnchor>
    <xdr:from>
      <xdr:col>14</xdr:col>
      <xdr:colOff>596745</xdr:colOff>
      <xdr:row>12</xdr:row>
      <xdr:rowOff>11474</xdr:rowOff>
    </xdr:from>
    <xdr:ext cx="1195455" cy="267381"/>
    <xdr:sp macro="" textlink="">
      <xdr:nvSpPr>
        <xdr:cNvPr id="16" name="テキスト ボックス 15"/>
        <xdr:cNvSpPr txBox="1"/>
      </xdr:nvSpPr>
      <xdr:spPr>
        <a:xfrm>
          <a:off x="11855295" y="1802174"/>
          <a:ext cx="119545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solidFill>
                <a:schemeClr val="accent5">
                  <a:lumMod val="75000"/>
                </a:schemeClr>
              </a:solidFill>
            </a:rPr>
            <a:t>1</a:t>
          </a:r>
          <a:r>
            <a:rPr kumimoji="1" lang="ja-JP" altLang="en-US" sz="1050">
              <a:solidFill>
                <a:schemeClr val="accent5">
                  <a:lumMod val="75000"/>
                </a:schemeClr>
              </a:solidFill>
            </a:rPr>
            <a:t>栓同時使用区間</a:t>
          </a:r>
        </a:p>
      </xdr:txBody>
    </xdr:sp>
    <xdr:clientData/>
  </xdr:oneCellAnchor>
  <xdr:oneCellAnchor>
    <xdr:from>
      <xdr:col>12</xdr:col>
      <xdr:colOff>528474</xdr:colOff>
      <xdr:row>8</xdr:row>
      <xdr:rowOff>121910</xdr:rowOff>
    </xdr:from>
    <xdr:ext cx="1243610" cy="275717"/>
    <xdr:sp macro="" textlink="">
      <xdr:nvSpPr>
        <xdr:cNvPr id="17" name="テキスト ボックス 16"/>
        <xdr:cNvSpPr txBox="1"/>
      </xdr:nvSpPr>
      <xdr:spPr>
        <a:xfrm>
          <a:off x="10415424" y="1341110"/>
          <a:ext cx="124361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accent1">
                  <a:lumMod val="75000"/>
                </a:schemeClr>
              </a:solidFill>
            </a:rPr>
            <a:t>3</a:t>
          </a:r>
          <a:r>
            <a:rPr kumimoji="1" lang="ja-JP" altLang="en-US" sz="1100">
              <a:solidFill>
                <a:schemeClr val="accent1">
                  <a:lumMod val="75000"/>
                </a:schemeClr>
              </a:solidFill>
            </a:rPr>
            <a:t>栓同時使用区間</a:t>
          </a:r>
        </a:p>
      </xdr:txBody>
    </xdr:sp>
    <xdr:clientData/>
  </xdr:oneCellAnchor>
  <xdr:twoCellAnchor>
    <xdr:from>
      <xdr:col>16</xdr:col>
      <xdr:colOff>19440</xdr:colOff>
      <xdr:row>17</xdr:row>
      <xdr:rowOff>78338</xdr:rowOff>
    </xdr:from>
    <xdr:to>
      <xdr:col>16</xdr:col>
      <xdr:colOff>349898</xdr:colOff>
      <xdr:row>18</xdr:row>
      <xdr:rowOff>49177</xdr:rowOff>
    </xdr:to>
    <xdr:sp macro="" textlink="">
      <xdr:nvSpPr>
        <xdr:cNvPr id="18" name="楕円 17"/>
        <xdr:cNvSpPr/>
      </xdr:nvSpPr>
      <xdr:spPr>
        <a:xfrm>
          <a:off x="12649590" y="3097763"/>
          <a:ext cx="330458" cy="142289"/>
        </a:xfrm>
        <a:prstGeom prst="ellipse">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622041</xdr:colOff>
      <xdr:row>30</xdr:row>
      <xdr:rowOff>38877</xdr:rowOff>
    </xdr:from>
    <xdr:to>
      <xdr:col>15</xdr:col>
      <xdr:colOff>262422</xdr:colOff>
      <xdr:row>31</xdr:row>
      <xdr:rowOff>9716</xdr:rowOff>
    </xdr:to>
    <xdr:sp macro="" textlink="">
      <xdr:nvSpPr>
        <xdr:cNvPr id="19" name="楕円 18"/>
        <xdr:cNvSpPr/>
      </xdr:nvSpPr>
      <xdr:spPr>
        <a:xfrm>
          <a:off x="11880591" y="5087127"/>
          <a:ext cx="326181" cy="142289"/>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470614</xdr:colOff>
      <xdr:row>40</xdr:row>
      <xdr:rowOff>111772</xdr:rowOff>
    </xdr:from>
    <xdr:to>
      <xdr:col>16</xdr:col>
      <xdr:colOff>616402</xdr:colOff>
      <xdr:row>40</xdr:row>
      <xdr:rowOff>442230</xdr:rowOff>
    </xdr:to>
    <xdr:sp macro="" textlink="">
      <xdr:nvSpPr>
        <xdr:cNvPr id="20" name="楕円 19"/>
        <xdr:cNvSpPr/>
      </xdr:nvSpPr>
      <xdr:spPr>
        <a:xfrm rot="5400000">
          <a:off x="13008429" y="6195332"/>
          <a:ext cx="330458"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471975</xdr:colOff>
      <xdr:row>19</xdr:row>
      <xdr:rowOff>157258</xdr:rowOff>
    </xdr:from>
    <xdr:to>
      <xdr:col>12</xdr:col>
      <xdr:colOff>617763</xdr:colOff>
      <xdr:row>21</xdr:row>
      <xdr:rowOff>141317</xdr:rowOff>
    </xdr:to>
    <xdr:sp macro="" textlink="">
      <xdr:nvSpPr>
        <xdr:cNvPr id="21" name="楕円 20"/>
        <xdr:cNvSpPr/>
      </xdr:nvSpPr>
      <xdr:spPr>
        <a:xfrm rot="5400000">
          <a:off x="10268339" y="3610169"/>
          <a:ext cx="326959"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461283</xdr:colOff>
      <xdr:row>49</xdr:row>
      <xdr:rowOff>111384</xdr:rowOff>
    </xdr:from>
    <xdr:to>
      <xdr:col>16</xdr:col>
      <xdr:colOff>607071</xdr:colOff>
      <xdr:row>51</xdr:row>
      <xdr:rowOff>91944</xdr:rowOff>
    </xdr:to>
    <xdr:sp macro="" textlink="">
      <xdr:nvSpPr>
        <xdr:cNvPr id="22" name="楕円 21"/>
        <xdr:cNvSpPr/>
      </xdr:nvSpPr>
      <xdr:spPr>
        <a:xfrm rot="5400000">
          <a:off x="14583747" y="8248845"/>
          <a:ext cx="323460"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476449</xdr:colOff>
      <xdr:row>9</xdr:row>
      <xdr:rowOff>136640</xdr:rowOff>
    </xdr:from>
    <xdr:to>
      <xdr:col>14</xdr:col>
      <xdr:colOff>116831</xdr:colOff>
      <xdr:row>10</xdr:row>
      <xdr:rowOff>107479</xdr:rowOff>
    </xdr:to>
    <xdr:sp macro="" textlink="">
      <xdr:nvSpPr>
        <xdr:cNvPr id="23" name="楕円 22"/>
        <xdr:cNvSpPr/>
      </xdr:nvSpPr>
      <xdr:spPr>
        <a:xfrm>
          <a:off x="11049199" y="1546340"/>
          <a:ext cx="326182" cy="142289"/>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592887</xdr:colOff>
      <xdr:row>30</xdr:row>
      <xdr:rowOff>9721</xdr:rowOff>
    </xdr:from>
    <xdr:to>
      <xdr:col>13</xdr:col>
      <xdr:colOff>233268</xdr:colOff>
      <xdr:row>30</xdr:row>
      <xdr:rowOff>155509</xdr:rowOff>
    </xdr:to>
    <xdr:sp macro="" textlink="">
      <xdr:nvSpPr>
        <xdr:cNvPr id="24" name="楕円 23"/>
        <xdr:cNvSpPr/>
      </xdr:nvSpPr>
      <xdr:spPr>
        <a:xfrm>
          <a:off x="10479837" y="5057971"/>
          <a:ext cx="326181"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524850</xdr:colOff>
      <xdr:row>31</xdr:row>
      <xdr:rowOff>9714</xdr:rowOff>
    </xdr:from>
    <xdr:to>
      <xdr:col>11</xdr:col>
      <xdr:colOff>622044</xdr:colOff>
      <xdr:row>31</xdr:row>
      <xdr:rowOff>77753</xdr:rowOff>
    </xdr:to>
    <xdr:sp macro="" textlink="">
      <xdr:nvSpPr>
        <xdr:cNvPr id="25" name="星 5 24"/>
        <xdr:cNvSpPr/>
      </xdr:nvSpPr>
      <xdr:spPr>
        <a:xfrm>
          <a:off x="9726000" y="5229414"/>
          <a:ext cx="97194" cy="68039"/>
        </a:xfrm>
        <a:prstGeom prst="star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631763</xdr:colOff>
      <xdr:row>18</xdr:row>
      <xdr:rowOff>97187</xdr:rowOff>
    </xdr:from>
    <xdr:to>
      <xdr:col>14</xdr:col>
      <xdr:colOff>38881</xdr:colOff>
      <xdr:row>18</xdr:row>
      <xdr:rowOff>165226</xdr:rowOff>
    </xdr:to>
    <xdr:sp macro="" textlink="">
      <xdr:nvSpPr>
        <xdr:cNvPr id="26" name="星 5 25"/>
        <xdr:cNvSpPr/>
      </xdr:nvSpPr>
      <xdr:spPr>
        <a:xfrm>
          <a:off x="11204513" y="3259487"/>
          <a:ext cx="92918" cy="68039"/>
        </a:xfrm>
        <a:prstGeom prst="star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19439</xdr:colOff>
      <xdr:row>11</xdr:row>
      <xdr:rowOff>29148</xdr:rowOff>
    </xdr:from>
    <xdr:to>
      <xdr:col>14</xdr:col>
      <xdr:colOff>116633</xdr:colOff>
      <xdr:row>12</xdr:row>
      <xdr:rowOff>48587</xdr:rowOff>
    </xdr:to>
    <xdr:sp macro="" textlink="">
      <xdr:nvSpPr>
        <xdr:cNvPr id="27" name="星 5 26"/>
        <xdr:cNvSpPr/>
      </xdr:nvSpPr>
      <xdr:spPr>
        <a:xfrm>
          <a:off x="11277989" y="1762698"/>
          <a:ext cx="97194" cy="76589"/>
        </a:xfrm>
        <a:prstGeom prst="star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10</xdr:row>
      <xdr:rowOff>9526</xdr:rowOff>
    </xdr:from>
    <xdr:to>
      <xdr:col>13</xdr:col>
      <xdr:colOff>295275</xdr:colOff>
      <xdr:row>10</xdr:row>
      <xdr:rowOff>104776</xdr:rowOff>
    </xdr:to>
    <xdr:sp macro="" textlink="">
      <xdr:nvSpPr>
        <xdr:cNvPr id="28" name="正方形/長方形 27"/>
        <xdr:cNvSpPr/>
      </xdr:nvSpPr>
      <xdr:spPr>
        <a:xfrm>
          <a:off x="10734675" y="1590676"/>
          <a:ext cx="133350" cy="95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485775</xdr:colOff>
      <xdr:row>17</xdr:row>
      <xdr:rowOff>95250</xdr:rowOff>
    </xdr:from>
    <xdr:to>
      <xdr:col>12</xdr:col>
      <xdr:colOff>590551</xdr:colOff>
      <xdr:row>18</xdr:row>
      <xdr:rowOff>123825</xdr:rowOff>
    </xdr:to>
    <xdr:sp macro="" textlink="">
      <xdr:nvSpPr>
        <xdr:cNvPr id="30" name="正方形/長方形 29"/>
        <xdr:cNvSpPr/>
      </xdr:nvSpPr>
      <xdr:spPr>
        <a:xfrm>
          <a:off x="10372725" y="3114675"/>
          <a:ext cx="104776" cy="2000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30</xdr:row>
      <xdr:rowOff>57150</xdr:rowOff>
    </xdr:from>
    <xdr:to>
      <xdr:col>14</xdr:col>
      <xdr:colOff>485775</xdr:colOff>
      <xdr:row>31</xdr:row>
      <xdr:rowOff>9525</xdr:rowOff>
    </xdr:to>
    <xdr:sp macro="" textlink="">
      <xdr:nvSpPr>
        <xdr:cNvPr id="32" name="正方形/長方形 31"/>
        <xdr:cNvSpPr/>
      </xdr:nvSpPr>
      <xdr:spPr>
        <a:xfrm>
          <a:off x="11487150" y="5133975"/>
          <a:ext cx="257175" cy="1238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466725</xdr:colOff>
      <xdr:row>38</xdr:row>
      <xdr:rowOff>38100</xdr:rowOff>
    </xdr:from>
    <xdr:to>
      <xdr:col>16</xdr:col>
      <xdr:colOff>609600</xdr:colOff>
      <xdr:row>39</xdr:row>
      <xdr:rowOff>9525</xdr:rowOff>
    </xdr:to>
    <xdr:sp macro="" textlink="">
      <xdr:nvSpPr>
        <xdr:cNvPr id="33" name="正方形/長方形 32"/>
        <xdr:cNvSpPr/>
      </xdr:nvSpPr>
      <xdr:spPr>
        <a:xfrm>
          <a:off x="13096875" y="5810250"/>
          <a:ext cx="142875" cy="161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638175</xdr:colOff>
      <xdr:row>52</xdr:row>
      <xdr:rowOff>38100</xdr:rowOff>
    </xdr:from>
    <xdr:ext cx="1743234" cy="825867"/>
    <xdr:sp macro="" textlink="">
      <xdr:nvSpPr>
        <xdr:cNvPr id="35" name="テキスト ボックス 34"/>
        <xdr:cNvSpPr txBox="1"/>
      </xdr:nvSpPr>
      <xdr:spPr>
        <a:xfrm>
          <a:off x="11210925" y="8601075"/>
          <a:ext cx="1743234"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サドル分水栓　　</a:t>
          </a:r>
          <a:r>
            <a:rPr kumimoji="1" lang="en-US" altLang="ja-JP" sz="1100">
              <a:solidFill>
                <a:srgbClr val="FF0000"/>
              </a:solidFill>
            </a:rPr>
            <a:t>20</a:t>
          </a:r>
          <a:r>
            <a:rPr kumimoji="1" lang="ja-JP" altLang="en-US" sz="1100">
              <a:solidFill>
                <a:srgbClr val="FF0000"/>
              </a:solidFill>
            </a:rPr>
            <a:t>㎜分岐</a:t>
          </a:r>
          <a:endParaRPr kumimoji="1" lang="en-US" altLang="ja-JP" sz="1100">
            <a:solidFill>
              <a:srgbClr val="FF0000"/>
            </a:solidFill>
          </a:endParaRPr>
        </a:p>
        <a:p>
          <a:r>
            <a:rPr kumimoji="1" lang="ja-JP" altLang="en-US" sz="1100">
              <a:solidFill>
                <a:srgbClr val="FF0000"/>
              </a:solidFill>
            </a:rPr>
            <a:t>フレキ</a:t>
          </a:r>
          <a:r>
            <a:rPr kumimoji="1" lang="en-US" altLang="ja-JP" sz="1100">
              <a:solidFill>
                <a:srgbClr val="FF0000"/>
              </a:solidFill>
            </a:rPr>
            <a:t>Ⅱ</a:t>
          </a:r>
          <a:r>
            <a:rPr kumimoji="1" lang="ja-JP" altLang="en-US" sz="1100">
              <a:solidFill>
                <a:srgbClr val="FF0000"/>
              </a:solidFill>
            </a:rPr>
            <a:t>（</a:t>
          </a:r>
          <a:r>
            <a:rPr kumimoji="1" lang="en-US" altLang="ja-JP" sz="1100">
              <a:solidFill>
                <a:srgbClr val="FF0000"/>
              </a:solidFill>
            </a:rPr>
            <a:t>0.5m</a:t>
          </a:r>
          <a:r>
            <a:rPr kumimoji="1" lang="ja-JP" altLang="en-US" sz="1100">
              <a:solidFill>
                <a:srgbClr val="FF0000"/>
              </a:solidFill>
            </a:rPr>
            <a:t>）  </a:t>
          </a:r>
          <a:r>
            <a:rPr kumimoji="1" lang="en-US" altLang="ja-JP" sz="1100">
              <a:solidFill>
                <a:srgbClr val="FF0000"/>
              </a:solidFill>
            </a:rPr>
            <a:t>20</a:t>
          </a:r>
          <a:r>
            <a:rPr kumimoji="1" lang="ja-JP" altLang="en-US" sz="1100">
              <a:solidFill>
                <a:srgbClr val="FF0000"/>
              </a:solidFill>
            </a:rPr>
            <a:t>㎜</a:t>
          </a:r>
          <a:endParaRPr kumimoji="1" lang="en-US" altLang="ja-JP" sz="1100">
            <a:solidFill>
              <a:srgbClr val="FF0000"/>
            </a:solidFill>
          </a:endParaRPr>
        </a:p>
        <a:p>
          <a:r>
            <a:rPr kumimoji="1" lang="ja-JP" altLang="en-US" sz="1100">
              <a:solidFill>
                <a:srgbClr val="FF0000"/>
              </a:solidFill>
            </a:rPr>
            <a:t>直結止水栓　　　</a:t>
          </a:r>
          <a:r>
            <a:rPr kumimoji="1" lang="en-US" altLang="ja-JP" sz="1100">
              <a:solidFill>
                <a:srgbClr val="FF0000"/>
              </a:solidFill>
            </a:rPr>
            <a:t>20×13</a:t>
          </a:r>
        </a:p>
        <a:p>
          <a:r>
            <a:rPr kumimoji="1" lang="ja-JP" altLang="en-US" sz="1100">
              <a:solidFill>
                <a:srgbClr val="FF0000"/>
              </a:solidFill>
            </a:rPr>
            <a:t>フレキ</a:t>
          </a:r>
          <a:r>
            <a:rPr kumimoji="1" lang="en-US" altLang="ja-JP" sz="1100">
              <a:solidFill>
                <a:srgbClr val="FF0000"/>
              </a:solidFill>
            </a:rPr>
            <a:t>Ⅲ</a:t>
          </a:r>
          <a:r>
            <a:rPr kumimoji="1" lang="ja-JP" altLang="en-US" sz="1100">
              <a:solidFill>
                <a:srgbClr val="FF0000"/>
              </a:solidFill>
            </a:rPr>
            <a:t>（</a:t>
          </a:r>
          <a:r>
            <a:rPr kumimoji="1" lang="en-US" altLang="ja-JP" sz="1100">
              <a:solidFill>
                <a:srgbClr val="FF0000"/>
              </a:solidFill>
            </a:rPr>
            <a:t>0.5m</a:t>
          </a:r>
          <a:r>
            <a:rPr kumimoji="1" lang="ja-JP" altLang="en-US" sz="1100">
              <a:solidFill>
                <a:srgbClr val="FF0000"/>
              </a:solidFill>
            </a:rPr>
            <a:t>）　</a:t>
          </a:r>
          <a:r>
            <a:rPr kumimoji="1" lang="en-US" altLang="ja-JP" sz="1100">
              <a:solidFill>
                <a:srgbClr val="FF0000"/>
              </a:solidFill>
            </a:rPr>
            <a:t>13</a:t>
          </a:r>
          <a:r>
            <a:rPr kumimoji="1" lang="ja-JP" altLang="en-US" sz="1100">
              <a:solidFill>
                <a:srgbClr val="FF0000"/>
              </a:solidFill>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D12" sqref="D12"/>
    </sheetView>
  </sheetViews>
  <sheetFormatPr defaultRowHeight="13.5"/>
  <sheetData>
    <row r="1" spans="1:1">
      <c r="A1" t="s">
        <v>112</v>
      </c>
    </row>
    <row r="3" spans="1:1">
      <c r="A3" t="s">
        <v>87</v>
      </c>
    </row>
    <row r="4" spans="1:1">
      <c r="A4" t="s">
        <v>88</v>
      </c>
    </row>
    <row r="5" spans="1:1">
      <c r="A5" t="s">
        <v>108</v>
      </c>
    </row>
    <row r="6" spans="1:1">
      <c r="A6" t="s">
        <v>109</v>
      </c>
    </row>
    <row r="7" spans="1:1">
      <c r="A7" t="s">
        <v>110</v>
      </c>
    </row>
    <row r="8" spans="1:1">
      <c r="A8" t="s">
        <v>89</v>
      </c>
    </row>
    <row r="9" spans="1:1">
      <c r="A9" t="s">
        <v>96</v>
      </c>
    </row>
    <row r="10" spans="1:1">
      <c r="A10" t="s">
        <v>90</v>
      </c>
    </row>
    <row r="13" spans="1:1">
      <c r="A13" t="s">
        <v>91</v>
      </c>
    </row>
    <row r="14" spans="1:1">
      <c r="A14" t="s">
        <v>95</v>
      </c>
    </row>
    <row r="17" spans="1:1">
      <c r="A17" t="s">
        <v>92</v>
      </c>
    </row>
    <row r="18" spans="1:1">
      <c r="A18" t="s">
        <v>93</v>
      </c>
    </row>
    <row r="19" spans="1:1">
      <c r="A19" t="s">
        <v>94</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79"/>
  <sheetViews>
    <sheetView tabSelected="1" zoomScaleNormal="100" workbookViewId="0">
      <selection activeCell="B11" sqref="B11"/>
    </sheetView>
  </sheetViews>
  <sheetFormatPr defaultRowHeight="13.5"/>
  <cols>
    <col min="1" max="2" width="15.625" customWidth="1"/>
    <col min="3" max="3" width="10.625" style="11" customWidth="1"/>
    <col min="4" max="5" width="15.625" customWidth="1"/>
    <col min="6" max="6" width="9" hidden="1" customWidth="1"/>
    <col min="7" max="7" width="11.75" hidden="1" customWidth="1"/>
    <col min="8" max="8" width="9" customWidth="1"/>
  </cols>
  <sheetData>
    <row r="1" spans="1:7" ht="20.100000000000001" customHeight="1" thickBot="1">
      <c r="A1" s="155"/>
      <c r="B1" s="65" t="s">
        <v>83</v>
      </c>
      <c r="D1" s="179" t="s">
        <v>107</v>
      </c>
      <c r="E1" s="179"/>
    </row>
    <row r="2" spans="1:7">
      <c r="A2" s="84" t="s">
        <v>45</v>
      </c>
      <c r="B2" s="85"/>
      <c r="C2" s="86" t="s">
        <v>46</v>
      </c>
      <c r="F2" s="20" t="e">
        <f>VLOOKUP(B2,表!E23:F25,2,0)</f>
        <v>#N/A</v>
      </c>
    </row>
    <row r="3" spans="1:7">
      <c r="A3" s="87" t="s">
        <v>47</v>
      </c>
      <c r="B3" s="60"/>
      <c r="C3" s="88" t="s">
        <v>48</v>
      </c>
    </row>
    <row r="4" spans="1:7" ht="14.25" thickBot="1">
      <c r="A4" s="89" t="s">
        <v>43</v>
      </c>
      <c r="B4" s="90"/>
      <c r="C4" s="91" t="s">
        <v>41</v>
      </c>
    </row>
    <row r="5" spans="1:7">
      <c r="A5" s="25" t="s">
        <v>44</v>
      </c>
      <c r="B5" s="178" t="str">
        <f>IFERROR(VLOOKUP(B4,表!B3:C32,2,FALSE),"")</f>
        <v/>
      </c>
      <c r="C5" s="26" t="s">
        <v>42</v>
      </c>
    </row>
    <row r="6" spans="1:7" ht="14.25" thickBot="1">
      <c r="A6" s="25" t="s">
        <v>66</v>
      </c>
      <c r="B6" s="178" t="str">
        <f>IFERROR((VLOOKUP(B5,表!E2:G15,3,FALSE)),"")</f>
        <v/>
      </c>
      <c r="C6" s="26" t="s">
        <v>56</v>
      </c>
    </row>
    <row r="7" spans="1:7" ht="14.25" thickBot="1">
      <c r="A7" s="84" t="s">
        <v>67</v>
      </c>
      <c r="B7" s="110"/>
      <c r="C7" s="109" t="s">
        <v>40</v>
      </c>
      <c r="D7" s="108"/>
    </row>
    <row r="8" spans="1:7">
      <c r="A8" s="112" t="s">
        <v>65</v>
      </c>
      <c r="B8" s="106"/>
      <c r="C8" s="107"/>
      <c r="D8" s="2"/>
      <c r="E8" s="2"/>
      <c r="F8" s="20" t="e">
        <f>VLOOKUP(B8,'直管換算表（参考）'!$B$34:$D$36,2,0)</f>
        <v>#N/A</v>
      </c>
    </row>
    <row r="9" spans="1:7" ht="14.25" thickBot="1">
      <c r="A9" s="113" t="s">
        <v>53</v>
      </c>
      <c r="B9" s="105"/>
      <c r="C9" s="2"/>
      <c r="D9" s="2"/>
      <c r="E9" s="2"/>
      <c r="F9" s="20">
        <f>IF(B9="有",1,0)</f>
        <v>0</v>
      </c>
    </row>
    <row r="10" spans="1:7" ht="5.0999999999999996" customHeight="1" thickBot="1">
      <c r="B10" s="11"/>
      <c r="C10"/>
    </row>
    <row r="11" spans="1:7" ht="40.5" customHeight="1">
      <c r="A11" s="73" t="s">
        <v>68</v>
      </c>
      <c r="B11" s="74"/>
      <c r="C11" s="75" t="s">
        <v>3</v>
      </c>
      <c r="D11" s="68" t="s">
        <v>1</v>
      </c>
      <c r="E11" s="19" t="s">
        <v>82</v>
      </c>
      <c r="F11" s="32" t="s">
        <v>73</v>
      </c>
      <c r="G11" s="17" t="s">
        <v>0</v>
      </c>
    </row>
    <row r="12" spans="1:7">
      <c r="A12" s="76">
        <v>13</v>
      </c>
      <c r="B12" s="59"/>
      <c r="C12" s="77" t="s">
        <v>3</v>
      </c>
      <c r="D12" s="158"/>
      <c r="E12" s="159"/>
    </row>
    <row r="13" spans="1:7">
      <c r="A13" s="78" t="s">
        <v>58</v>
      </c>
      <c r="B13" s="42"/>
      <c r="C13" s="79" t="s">
        <v>3</v>
      </c>
      <c r="D13" s="160" t="str">
        <f>IF(ISBLANK(B13),"",IFERROR(((0.0126+(0.01739-0.1087*(F13/1000))/SQRT(E13))*B13/(F13/1000)*E13^2/(2*9.8)),"　"))</f>
        <v/>
      </c>
      <c r="E13" s="161" t="str">
        <f>IF(ISBLANK(B13),"",IFERROR((G13/1000/60)/((F13/1000)^2*PI()/4),"  "))</f>
        <v/>
      </c>
      <c r="F13" s="33">
        <f>$A$12</f>
        <v>13</v>
      </c>
      <c r="G13" s="20">
        <f>表!$F3</f>
        <v>12</v>
      </c>
    </row>
    <row r="14" spans="1:7">
      <c r="A14" s="78" t="s">
        <v>59</v>
      </c>
      <c r="B14" s="42"/>
      <c r="C14" s="79" t="s">
        <v>3</v>
      </c>
      <c r="D14" s="160" t="str">
        <f>IF(ISBLANK(B14),"",IFERROR(((0.0126+(0.01739-0.1087*(F14/1000))/SQRT(E14))*B14/(F14/1000)*E14^2/(2*9.8)),"　"))</f>
        <v/>
      </c>
      <c r="E14" s="161" t="str">
        <f>IF(ISBLANK(B14),"",IFERROR((G14/1000/60)/((F14/1000)^2*PI()/4),"  "))</f>
        <v/>
      </c>
      <c r="F14" s="33">
        <f>$A$12</f>
        <v>13</v>
      </c>
      <c r="G14" s="20">
        <f>表!$F4</f>
        <v>24</v>
      </c>
    </row>
    <row r="15" spans="1:7">
      <c r="A15" s="80" t="s">
        <v>60</v>
      </c>
      <c r="B15" s="43"/>
      <c r="C15" s="81" t="s">
        <v>3</v>
      </c>
      <c r="D15" s="162" t="str">
        <f>IF(ISBLANK(B15),"",IFERROR(((0.0126+(0.01739-0.1087*(F15/1000))/SQRT(E15))*B15/(F15/1000)*E15^2/(2*9.8)),"　"))</f>
        <v/>
      </c>
      <c r="E15" s="163" t="str">
        <f>IF(ISBLANK(B15),"",IFERROR((G15/1000/60)/((F15/1000)^2*PI()/4),"  "))</f>
        <v/>
      </c>
      <c r="F15" s="33">
        <f>$A$12</f>
        <v>13</v>
      </c>
      <c r="G15" s="20">
        <f>表!$F5</f>
        <v>36</v>
      </c>
    </row>
    <row r="16" spans="1:7">
      <c r="A16" s="76">
        <v>16</v>
      </c>
      <c r="B16" s="59"/>
      <c r="C16" s="77" t="s">
        <v>3</v>
      </c>
      <c r="D16" s="158"/>
      <c r="E16" s="159"/>
      <c r="F16" s="34"/>
    </row>
    <row r="17" spans="1:7">
      <c r="A17" s="78" t="s">
        <v>58</v>
      </c>
      <c r="B17" s="42"/>
      <c r="C17" s="79" t="s">
        <v>3</v>
      </c>
      <c r="D17" s="160" t="str">
        <f>IF(ISBLANK(B17),"",IFERROR(((0.0126+(0.01739-0.1087*(F17/1000))/SQRT(E17))*B17/(F17/1000)*E17^2/(2*9.8)),"　"))</f>
        <v/>
      </c>
      <c r="E17" s="161" t="str">
        <f>IF(ISBLANK(B17),"",IFERROR((G17/1000/60)/((F17/1000)^2*PI()/4),"  "))</f>
        <v/>
      </c>
      <c r="F17" s="33">
        <f>$A$16</f>
        <v>16</v>
      </c>
      <c r="G17" s="20">
        <f>表!$F3</f>
        <v>12</v>
      </c>
    </row>
    <row r="18" spans="1:7">
      <c r="A18" s="78" t="s">
        <v>59</v>
      </c>
      <c r="B18" s="42"/>
      <c r="C18" s="79" t="s">
        <v>3</v>
      </c>
      <c r="D18" s="160" t="str">
        <f>IF(ISBLANK(B18),"",IFERROR(((0.0126+(0.01739-0.1087*(F18/1000))/SQRT(E18))*B18/(F18/1000)*E18^2/(2*9.8)),"　"))</f>
        <v/>
      </c>
      <c r="E18" s="161" t="str">
        <f>IF(ISBLANK(B18),"",IFERROR((G18/1000/60)/((F18/1000)^2*PI()/4),"  "))</f>
        <v/>
      </c>
      <c r="F18" s="33">
        <f>$A$16</f>
        <v>16</v>
      </c>
      <c r="G18" s="20">
        <f>表!$F4</f>
        <v>24</v>
      </c>
    </row>
    <row r="19" spans="1:7">
      <c r="A19" s="80" t="s">
        <v>60</v>
      </c>
      <c r="B19" s="43"/>
      <c r="C19" s="81" t="s">
        <v>3</v>
      </c>
      <c r="D19" s="162" t="str">
        <f>IF(ISBLANK(B19),"",IFERROR(((0.0126+(0.01739-0.1087*(F19/1000))/SQRT(E19))*B19/(F19/1000)*E19^2/(2*9.8)),"　"))</f>
        <v/>
      </c>
      <c r="E19" s="163" t="str">
        <f>IF(ISBLANK(B19),"",IFERROR((G19/1000/60)/((F19/1000)^2*PI()/4),"  "))</f>
        <v/>
      </c>
      <c r="F19" s="33">
        <f>$A$16</f>
        <v>16</v>
      </c>
      <c r="G19" s="20">
        <f>表!$F5</f>
        <v>36</v>
      </c>
    </row>
    <row r="20" spans="1:7">
      <c r="A20" s="76">
        <v>20</v>
      </c>
      <c r="B20" s="59"/>
      <c r="C20" s="77" t="s">
        <v>3</v>
      </c>
      <c r="D20" s="158"/>
      <c r="E20" s="159"/>
      <c r="F20" s="34"/>
    </row>
    <row r="21" spans="1:7">
      <c r="A21" s="78" t="s">
        <v>58</v>
      </c>
      <c r="B21" s="42"/>
      <c r="C21" s="79" t="s">
        <v>3</v>
      </c>
      <c r="D21" s="160" t="str">
        <f>IF(ISBLANK(B21),"",IFERROR(((0.0126+(0.01739-0.1087*(F21/1000))/SQRT(E21))*B21/(F21/1000)*E21^2/(2*9.8)),"　"))</f>
        <v/>
      </c>
      <c r="E21" s="161" t="str">
        <f>IF(ISBLANK(B21),"",IFERROR((G21/1000/60)/((F21/1000)^2*PI()/4),"  "))</f>
        <v/>
      </c>
      <c r="F21" s="33">
        <f>$A$20</f>
        <v>20</v>
      </c>
      <c r="G21" s="20">
        <f>表!$F3</f>
        <v>12</v>
      </c>
    </row>
    <row r="22" spans="1:7">
      <c r="A22" s="78" t="s">
        <v>59</v>
      </c>
      <c r="B22" s="42"/>
      <c r="C22" s="79" t="s">
        <v>3</v>
      </c>
      <c r="D22" s="160" t="str">
        <f>IF(ISBLANK(B22),"",IFERROR(((0.0126+(0.01739-0.1087*(F22/1000))/SQRT(E22))*B22/(F22/1000)*E22^2/(2*9.8)),"　"))</f>
        <v/>
      </c>
      <c r="E22" s="161" t="str">
        <f>IF(ISBLANK(B22),"",IFERROR((G22/1000/60)/((F22/1000)^2*PI()/4),"  "))</f>
        <v/>
      </c>
      <c r="F22" s="33">
        <f>$A$20</f>
        <v>20</v>
      </c>
      <c r="G22" s="20">
        <f>表!$F4</f>
        <v>24</v>
      </c>
    </row>
    <row r="23" spans="1:7">
      <c r="A23" s="80" t="s">
        <v>60</v>
      </c>
      <c r="B23" s="43"/>
      <c r="C23" s="81" t="s">
        <v>3</v>
      </c>
      <c r="D23" s="162" t="str">
        <f>IF(ISBLANK(B23),"",IFERROR(((0.0126+(0.01739-0.1087*(F23/1000))/SQRT(E23))*B23/(F23/1000)*E23^2/(2*9.8)),"　"))</f>
        <v/>
      </c>
      <c r="E23" s="163" t="str">
        <f>IF(ISBLANK(B23),"",IFERROR((G23/1000/60)/((F23/1000)^2*PI()/4),"  "))</f>
        <v/>
      </c>
      <c r="F23" s="33">
        <f>$A$20</f>
        <v>20</v>
      </c>
      <c r="G23" s="20">
        <f>表!$F5</f>
        <v>36</v>
      </c>
    </row>
    <row r="24" spans="1:7">
      <c r="A24" s="76">
        <v>25</v>
      </c>
      <c r="B24" s="59"/>
      <c r="C24" s="77" t="s">
        <v>3</v>
      </c>
      <c r="D24" s="158"/>
      <c r="E24" s="159"/>
      <c r="F24" s="34"/>
    </row>
    <row r="25" spans="1:7">
      <c r="A25" s="78" t="s">
        <v>58</v>
      </c>
      <c r="B25" s="42"/>
      <c r="C25" s="79" t="s">
        <v>3</v>
      </c>
      <c r="D25" s="160" t="str">
        <f>IF(ISBLANK(B25),"",IFERROR(((0.0126+(0.01739-0.1087*(F25/1000))/SQRT(E25))*B25/(F25/1000)*E25^2/(2*9.8)),"　"))</f>
        <v/>
      </c>
      <c r="E25" s="161" t="str">
        <f>IF(ISBLANK(B25),"",IFERROR((G25/1000/60)/((F25/1000)^2*PI()/4),"  "))</f>
        <v/>
      </c>
      <c r="F25" s="33">
        <f>$A$24</f>
        <v>25</v>
      </c>
      <c r="G25" s="20">
        <f>表!$F3</f>
        <v>12</v>
      </c>
    </row>
    <row r="26" spans="1:7">
      <c r="A26" s="78" t="s">
        <v>59</v>
      </c>
      <c r="B26" s="42"/>
      <c r="C26" s="79" t="s">
        <v>3</v>
      </c>
      <c r="D26" s="160" t="str">
        <f>IF(ISBLANK(B26),"",IFERROR(((0.0126+(0.01739-0.1087*(F26/1000))/SQRT(E26))*B26/(F26/1000)*E26^2/(2*9.8)),"　"))</f>
        <v/>
      </c>
      <c r="E26" s="161" t="str">
        <f>IF(ISBLANK(B26),"",IFERROR((G26/1000/60)/((F26/1000)^2*PI()/4),"  "))</f>
        <v/>
      </c>
      <c r="F26" s="33">
        <f>$A$24</f>
        <v>25</v>
      </c>
      <c r="G26" s="20">
        <f>表!$F4</f>
        <v>24</v>
      </c>
    </row>
    <row r="27" spans="1:7">
      <c r="A27" s="137" t="s">
        <v>60</v>
      </c>
      <c r="B27" s="42"/>
      <c r="C27" s="79" t="s">
        <v>3</v>
      </c>
      <c r="D27" s="164" t="str">
        <f>IF(ISBLANK(B27),"",IFERROR(((0.0126+(0.01739-0.1087*(F27/1000))/SQRT(E27))*B27/(F27/1000)*E27^2/(2*9.8)),"　"))</f>
        <v/>
      </c>
      <c r="E27" s="165" t="str">
        <f>IF(ISBLANK(B27),"",IFERROR((G27/1000/60)/((F27/1000)^2*PI()/4),"  "))</f>
        <v/>
      </c>
      <c r="F27" s="33">
        <f>$A$24</f>
        <v>25</v>
      </c>
      <c r="G27" s="20">
        <f>表!$F5</f>
        <v>36</v>
      </c>
    </row>
    <row r="28" spans="1:7">
      <c r="A28" s="138" t="s">
        <v>78</v>
      </c>
      <c r="B28" s="45"/>
      <c r="C28" s="139" t="s">
        <v>3</v>
      </c>
      <c r="D28" s="166" t="str">
        <f>IF(ISBLANK(B28),"",IFERROR(((0.0126+(0.01739-0.1087*(F28/1000))/SQRT(E28))*B28/(F28/1000)*E28^2/(2*9.8)),"　"))</f>
        <v/>
      </c>
      <c r="E28" s="163" t="str">
        <f>IF(ISBLANK(B28),"",IFERROR((G28/1000/60)/((F28/1000)^2*PI()/4),"  "))</f>
        <v/>
      </c>
      <c r="F28" s="33">
        <f>$A$24</f>
        <v>25</v>
      </c>
      <c r="G28" s="20">
        <f>表!$F6</f>
        <v>48</v>
      </c>
    </row>
    <row r="29" spans="1:7">
      <c r="A29" s="76">
        <v>30</v>
      </c>
      <c r="B29" s="59"/>
      <c r="C29" s="77" t="s">
        <v>3</v>
      </c>
      <c r="D29" s="158"/>
      <c r="E29" s="159"/>
      <c r="F29" s="34"/>
    </row>
    <row r="30" spans="1:7">
      <c r="A30" s="78" t="s">
        <v>58</v>
      </c>
      <c r="B30" s="42"/>
      <c r="C30" s="79" t="s">
        <v>3</v>
      </c>
      <c r="D30" s="160" t="str">
        <f t="shared" ref="D30:D36" si="0">IF(ISBLANK(B30),"",IFERROR(((0.0126+(0.01739-0.1087*(F30/1000))/SQRT(E30))*B30/(F30/1000)*E30^2/(2*9.8)),"　"))</f>
        <v/>
      </c>
      <c r="E30" s="161" t="str">
        <f t="shared" ref="E30:E36" si="1">IF(ISBLANK(B30),"",IFERROR((G30/1000/60)/((F30/1000)^2*PI()/4),"  "))</f>
        <v/>
      </c>
      <c r="F30" s="33">
        <f t="shared" ref="F30:F36" si="2">$A$29</f>
        <v>30</v>
      </c>
      <c r="G30" s="20">
        <f>表!$F3</f>
        <v>12</v>
      </c>
    </row>
    <row r="31" spans="1:7">
      <c r="A31" s="78" t="s">
        <v>59</v>
      </c>
      <c r="B31" s="42"/>
      <c r="C31" s="79" t="s">
        <v>3</v>
      </c>
      <c r="D31" s="160" t="str">
        <f t="shared" si="0"/>
        <v/>
      </c>
      <c r="E31" s="161" t="str">
        <f t="shared" si="1"/>
        <v/>
      </c>
      <c r="F31" s="33">
        <f t="shared" si="2"/>
        <v>30</v>
      </c>
      <c r="G31" s="20">
        <f>表!$F4</f>
        <v>24</v>
      </c>
    </row>
    <row r="32" spans="1:7">
      <c r="A32" s="137" t="s">
        <v>60</v>
      </c>
      <c r="B32" s="42"/>
      <c r="C32" s="79" t="s">
        <v>3</v>
      </c>
      <c r="D32" s="162" t="str">
        <f t="shared" si="0"/>
        <v/>
      </c>
      <c r="E32" s="163" t="str">
        <f t="shared" si="1"/>
        <v/>
      </c>
      <c r="F32" s="33">
        <f t="shared" si="2"/>
        <v>30</v>
      </c>
      <c r="G32" s="20">
        <f>表!$F5</f>
        <v>36</v>
      </c>
    </row>
    <row r="33" spans="1:7" ht="14.25" thickBot="1">
      <c r="A33" s="146" t="s">
        <v>78</v>
      </c>
      <c r="B33" s="157"/>
      <c r="C33" s="116" t="s">
        <v>3</v>
      </c>
      <c r="D33" s="167" t="str">
        <f t="shared" si="0"/>
        <v/>
      </c>
      <c r="E33" s="168" t="str">
        <f t="shared" si="1"/>
        <v/>
      </c>
      <c r="F33" s="33">
        <f t="shared" si="2"/>
        <v>30</v>
      </c>
      <c r="G33" s="20">
        <f>表!$F6</f>
        <v>48</v>
      </c>
    </row>
    <row r="34" spans="1:7" hidden="1">
      <c r="A34" s="37" t="s">
        <v>79</v>
      </c>
      <c r="B34" s="45"/>
      <c r="C34" s="35" t="s">
        <v>3</v>
      </c>
      <c r="D34" s="169" t="str">
        <f t="shared" si="0"/>
        <v/>
      </c>
      <c r="E34" s="161" t="str">
        <f t="shared" si="1"/>
        <v/>
      </c>
      <c r="F34" s="33">
        <f t="shared" si="2"/>
        <v>30</v>
      </c>
      <c r="G34" s="20">
        <f>表!$F7</f>
        <v>60</v>
      </c>
    </row>
    <row r="35" spans="1:7" hidden="1">
      <c r="A35" s="12" t="s">
        <v>80</v>
      </c>
      <c r="B35" s="46"/>
      <c r="C35" s="13" t="s">
        <v>3</v>
      </c>
      <c r="D35" s="169" t="str">
        <f t="shared" si="0"/>
        <v/>
      </c>
      <c r="E35" s="161" t="str">
        <f t="shared" si="1"/>
        <v/>
      </c>
      <c r="F35" s="33">
        <f t="shared" si="2"/>
        <v>30</v>
      </c>
      <c r="G35" s="20">
        <f>表!$F8</f>
        <v>72</v>
      </c>
    </row>
    <row r="36" spans="1:7" ht="14.25" hidden="1" thickBot="1">
      <c r="A36" s="14" t="s">
        <v>81</v>
      </c>
      <c r="B36" s="43"/>
      <c r="C36" s="15" t="s">
        <v>3</v>
      </c>
      <c r="D36" s="170" t="str">
        <f t="shared" si="0"/>
        <v/>
      </c>
      <c r="E36" s="163" t="str">
        <f t="shared" si="1"/>
        <v/>
      </c>
      <c r="F36" s="33">
        <f t="shared" si="2"/>
        <v>30</v>
      </c>
      <c r="G36" s="20">
        <f>表!$F9</f>
        <v>84</v>
      </c>
    </row>
    <row r="37" spans="1:7" ht="15" thickTop="1" thickBot="1">
      <c r="A37" s="2"/>
      <c r="B37" s="18"/>
      <c r="C37" s="2"/>
      <c r="D37" s="47">
        <f>SUM(D12:D36)</f>
        <v>0</v>
      </c>
      <c r="E37" s="41"/>
      <c r="F37" s="2"/>
      <c r="G37" s="2"/>
    </row>
    <row r="38" spans="1:7" ht="5.0999999999999996" customHeight="1" thickTop="1" thickBot="1">
      <c r="B38" s="11"/>
      <c r="C38"/>
      <c r="D38" s="29"/>
      <c r="E38" s="2"/>
    </row>
    <row r="39" spans="1:7" ht="40.5" customHeight="1">
      <c r="A39" s="93" t="s">
        <v>63</v>
      </c>
      <c r="B39" s="94" t="s">
        <v>85</v>
      </c>
      <c r="C39" s="95" t="s">
        <v>62</v>
      </c>
      <c r="D39" s="92" t="s">
        <v>1</v>
      </c>
      <c r="E39" s="19" t="s">
        <v>82</v>
      </c>
      <c r="F39" s="21" t="s">
        <v>57</v>
      </c>
      <c r="G39" s="17" t="s">
        <v>52</v>
      </c>
    </row>
    <row r="40" spans="1:7">
      <c r="A40" s="96"/>
      <c r="B40" s="22"/>
      <c r="C40" s="97"/>
      <c r="D40" s="158" t="str">
        <f>IFERROR(((0.0126+(0.01739-0.1087*(B40/1000))/SQRT(E40))*F40/(B40/1000)*E40^2/(2*9.8)),"　")</f>
        <v>　</v>
      </c>
      <c r="E40" s="171" t="str">
        <f t="shared" ref="E40:E73" si="3">IFERROR((G40/1000/60)/((B40/1000)^2*PI()/4),"  ")</f>
        <v xml:space="preserve">  </v>
      </c>
      <c r="F40" s="20" t="e">
        <f>INDEX('直管換算表（参考）'!$C$5:$I$26,MATCH(A40,'直管換算表（参考）'!$B$5:$B$26,0),MATCH(B40,'直管換算表（参考）'!$C$4:$I$4,0))</f>
        <v>#N/A</v>
      </c>
      <c r="G40" s="20" t="e">
        <f>VLOOKUP(C40,表!$E$2:$G$15,2,0)</f>
        <v>#N/A</v>
      </c>
    </row>
    <row r="41" spans="1:7">
      <c r="A41" s="98"/>
      <c r="B41" s="23"/>
      <c r="C41" s="99"/>
      <c r="D41" s="160" t="str">
        <f t="shared" ref="D41:D73" si="4">IFERROR(((0.0126+(0.01739-0.1087*(B41/1000))/SQRT(E41))*F41/(B41/1000)*E41^2/(2*9.8)),"　")</f>
        <v>　</v>
      </c>
      <c r="E41" s="161" t="str">
        <f>IFERROR((G41/1000/60)/((B41/1000)^2*PI()/4),"  ")</f>
        <v xml:space="preserve">  </v>
      </c>
      <c r="F41" s="20" t="e">
        <f>INDEX('直管換算表（参考）'!$C$5:$I$26,MATCH(A41,'直管換算表（参考）'!$B$5:$B$26,0),MATCH(B41,'直管換算表（参考）'!$C$4:$I$4,0))</f>
        <v>#N/A</v>
      </c>
      <c r="G41" s="20" t="e">
        <f>VLOOKUP(C41,表!$E$2:$G$15,2,0)</f>
        <v>#N/A</v>
      </c>
    </row>
    <row r="42" spans="1:7">
      <c r="A42" s="98"/>
      <c r="B42" s="23"/>
      <c r="C42" s="99"/>
      <c r="D42" s="160" t="str">
        <f>IFERROR(((0.0126+(0.01739-0.1087*(B42/1000))/SQRT(E42))*F42/(B42/1000)*E42^2/(2*9.8)),"　")</f>
        <v>　</v>
      </c>
      <c r="E42" s="161" t="str">
        <f t="shared" si="3"/>
        <v xml:space="preserve">  </v>
      </c>
      <c r="F42" s="20" t="e">
        <f>INDEX('直管換算表（参考）'!$C$5:$I$26,MATCH(A42,'直管換算表（参考）'!$B$5:$B$26,0),MATCH(B42,'直管換算表（参考）'!$C$4:$I$4,0))</f>
        <v>#N/A</v>
      </c>
      <c r="G42" s="20" t="e">
        <f>VLOOKUP(C42,表!$E$2:$G$15,2,0)</f>
        <v>#N/A</v>
      </c>
    </row>
    <row r="43" spans="1:7">
      <c r="A43" s="98"/>
      <c r="B43" s="23"/>
      <c r="C43" s="99"/>
      <c r="D43" s="160" t="str">
        <f>IFERROR(((0.0126+(0.01739-0.1087*(B43/1000))/SQRT(E43))*F43/(B43/1000)*E43^2/(2*9.8)),"　")</f>
        <v>　</v>
      </c>
      <c r="E43" s="161" t="str">
        <f t="shared" si="3"/>
        <v xml:space="preserve">  </v>
      </c>
      <c r="F43" s="20" t="e">
        <f>INDEX('直管換算表（参考）'!$C$5:$I$26,MATCH(A43,'直管換算表（参考）'!$B$5:$B$26,0),MATCH(B43,'直管換算表（参考）'!$C$4:$I$4,0))</f>
        <v>#N/A</v>
      </c>
      <c r="G43" s="20" t="e">
        <f>VLOOKUP(C43,表!$E$2:$G$15,2,0)</f>
        <v>#N/A</v>
      </c>
    </row>
    <row r="44" spans="1:7">
      <c r="A44" s="98"/>
      <c r="B44" s="23"/>
      <c r="C44" s="99"/>
      <c r="D44" s="160" t="str">
        <f t="shared" si="4"/>
        <v>　</v>
      </c>
      <c r="E44" s="161" t="str">
        <f>IFERROR((G44/1000/60)/((B44/1000)^2*PI()/4),"  ")</f>
        <v xml:space="preserve">  </v>
      </c>
      <c r="F44" s="20" t="e">
        <f>INDEX('直管換算表（参考）'!$C$5:$I$26,MATCH(A44,'直管換算表（参考）'!$B$5:$B$26,0),MATCH(B44,'直管換算表（参考）'!$C$4:$I$4,0))</f>
        <v>#N/A</v>
      </c>
      <c r="G44" s="20" t="e">
        <f>VLOOKUP(C44,表!$E$2:$G$15,2,0)</f>
        <v>#N/A</v>
      </c>
    </row>
    <row r="45" spans="1:7">
      <c r="A45" s="98"/>
      <c r="B45" s="23"/>
      <c r="C45" s="99"/>
      <c r="D45" s="160" t="str">
        <f t="shared" si="4"/>
        <v>　</v>
      </c>
      <c r="E45" s="161" t="str">
        <f t="shared" si="3"/>
        <v xml:space="preserve">  </v>
      </c>
      <c r="F45" s="20" t="e">
        <f>INDEX('直管換算表（参考）'!$C$5:$I$26,MATCH(A45,'直管換算表（参考）'!$B$5:$B$26,0),MATCH(B45,'直管換算表（参考）'!$C$4:$I$4,0))</f>
        <v>#N/A</v>
      </c>
      <c r="G45" s="20" t="e">
        <f>VLOOKUP(C45,表!$E$2:$G$15,2,0)</f>
        <v>#N/A</v>
      </c>
    </row>
    <row r="46" spans="1:7">
      <c r="A46" s="98"/>
      <c r="B46" s="23"/>
      <c r="C46" s="99"/>
      <c r="D46" s="160" t="str">
        <f t="shared" si="4"/>
        <v>　</v>
      </c>
      <c r="E46" s="161" t="str">
        <f t="shared" si="3"/>
        <v xml:space="preserve">  </v>
      </c>
      <c r="F46" s="20" t="e">
        <f>INDEX('直管換算表（参考）'!$C$5:$I$26,MATCH(A46,'直管換算表（参考）'!$B$5:$B$26,0),MATCH(B46,'直管換算表（参考）'!$C$4:$I$4,0))</f>
        <v>#N/A</v>
      </c>
      <c r="G46" s="20" t="e">
        <f>VLOOKUP(C46,表!$E$2:$G$15,2,0)</f>
        <v>#N/A</v>
      </c>
    </row>
    <row r="47" spans="1:7">
      <c r="A47" s="98"/>
      <c r="B47" s="23"/>
      <c r="C47" s="99"/>
      <c r="D47" s="160" t="str">
        <f t="shared" si="4"/>
        <v>　</v>
      </c>
      <c r="E47" s="161" t="str">
        <f t="shared" si="3"/>
        <v xml:space="preserve">  </v>
      </c>
      <c r="F47" s="20" t="e">
        <f>INDEX('直管換算表（参考）'!$C$5:$I$26,MATCH(A47,'直管換算表（参考）'!$B$5:$B$26,0),MATCH(B47,'直管換算表（参考）'!$C$4:$I$4,0))</f>
        <v>#N/A</v>
      </c>
      <c r="G47" s="20" t="e">
        <f>VLOOKUP(C47,表!$E$2:$G$15,2,0)</f>
        <v>#N/A</v>
      </c>
    </row>
    <row r="48" spans="1:7">
      <c r="A48" s="98"/>
      <c r="B48" s="23"/>
      <c r="C48" s="99"/>
      <c r="D48" s="160" t="str">
        <f t="shared" si="4"/>
        <v>　</v>
      </c>
      <c r="E48" s="161" t="str">
        <f>IFERROR((G48/1000/60)/((B48/1000)^2*PI()/4),"  ")</f>
        <v xml:space="preserve">  </v>
      </c>
      <c r="F48" s="20" t="e">
        <f>INDEX('直管換算表（参考）'!$C$5:$I$26,MATCH(A48,'直管換算表（参考）'!$B$5:$B$26,0),MATCH(B48,'直管換算表（参考）'!$C$4:$I$4,0))</f>
        <v>#N/A</v>
      </c>
      <c r="G48" s="20" t="e">
        <f>VLOOKUP(C48,表!$E$2:$G$15,2,0)</f>
        <v>#N/A</v>
      </c>
    </row>
    <row r="49" spans="1:7">
      <c r="A49" s="98"/>
      <c r="B49" s="23"/>
      <c r="C49" s="99"/>
      <c r="D49" s="160" t="str">
        <f t="shared" si="4"/>
        <v>　</v>
      </c>
      <c r="E49" s="161" t="str">
        <f t="shared" si="3"/>
        <v xml:space="preserve">  </v>
      </c>
      <c r="F49" s="20" t="e">
        <f>INDEX('直管換算表（参考）'!$C$5:$I$26,MATCH(A49,'直管換算表（参考）'!$B$5:$B$26,0),MATCH(B49,'直管換算表（参考）'!$C$4:$I$4,0))</f>
        <v>#N/A</v>
      </c>
      <c r="G49" s="20" t="e">
        <f>VLOOKUP(C49,表!$E$2:$G$15,2,0)</f>
        <v>#N/A</v>
      </c>
    </row>
    <row r="50" spans="1:7">
      <c r="A50" s="98"/>
      <c r="B50" s="23"/>
      <c r="C50" s="99"/>
      <c r="D50" s="160" t="str">
        <f t="shared" si="4"/>
        <v>　</v>
      </c>
      <c r="E50" s="161" t="str">
        <f t="shared" si="3"/>
        <v xml:space="preserve">  </v>
      </c>
      <c r="F50" s="20" t="e">
        <f>INDEX('直管換算表（参考）'!$C$5:$I$26,MATCH(A50,'直管換算表（参考）'!$B$5:$B$26,0),MATCH(B50,'直管換算表（参考）'!$C$4:$I$4,0))</f>
        <v>#N/A</v>
      </c>
      <c r="G50" s="20" t="e">
        <f>VLOOKUP(C50,表!$E$2:$G$15,2,0)</f>
        <v>#N/A</v>
      </c>
    </row>
    <row r="51" spans="1:7">
      <c r="A51" s="98"/>
      <c r="B51" s="23"/>
      <c r="C51" s="99"/>
      <c r="D51" s="160" t="str">
        <f t="shared" si="4"/>
        <v>　</v>
      </c>
      <c r="E51" s="161" t="str">
        <f t="shared" si="3"/>
        <v xml:space="preserve">  </v>
      </c>
      <c r="F51" s="20" t="e">
        <f>INDEX('直管換算表（参考）'!$C$5:$I$26,MATCH(A51,'直管換算表（参考）'!$B$5:$B$26,0),MATCH(B51,'直管換算表（参考）'!$C$4:$I$4,0))</f>
        <v>#N/A</v>
      </c>
      <c r="G51" s="20" t="e">
        <f>VLOOKUP(C51,表!$E$2:$G$15,2,0)</f>
        <v>#N/A</v>
      </c>
    </row>
    <row r="52" spans="1:7">
      <c r="A52" s="98"/>
      <c r="B52" s="23"/>
      <c r="C52" s="99"/>
      <c r="D52" s="160" t="str">
        <f t="shared" si="4"/>
        <v>　</v>
      </c>
      <c r="E52" s="161" t="str">
        <f>IFERROR((G52/1000/60)/((B52/1000)^2*PI()/4),"  ")</f>
        <v xml:space="preserve">  </v>
      </c>
      <c r="F52" s="20" t="e">
        <f>INDEX('直管換算表（参考）'!$C$5:$I$26,MATCH(A52,'直管換算表（参考）'!$B$5:$B$26,0),MATCH(B52,'直管換算表（参考）'!$C$4:$I$4,0))</f>
        <v>#N/A</v>
      </c>
      <c r="G52" s="20" t="e">
        <f>VLOOKUP(C52,表!$E$2:$G$15,2,0)</f>
        <v>#N/A</v>
      </c>
    </row>
    <row r="53" spans="1:7">
      <c r="A53" s="98"/>
      <c r="B53" s="23"/>
      <c r="C53" s="99"/>
      <c r="D53" s="160" t="str">
        <f t="shared" si="4"/>
        <v>　</v>
      </c>
      <c r="E53" s="161" t="str">
        <f t="shared" si="3"/>
        <v xml:space="preserve">  </v>
      </c>
      <c r="F53" s="20" t="e">
        <f>INDEX('直管換算表（参考）'!$C$5:$I$26,MATCH(A53,'直管換算表（参考）'!$B$5:$B$26,0),MATCH(B53,'直管換算表（参考）'!$C$4:$I$4,0))</f>
        <v>#N/A</v>
      </c>
      <c r="G53" s="20" t="e">
        <f>VLOOKUP(C53,表!$E$2:$G$15,2,0)</f>
        <v>#N/A</v>
      </c>
    </row>
    <row r="54" spans="1:7">
      <c r="A54" s="98"/>
      <c r="B54" s="23"/>
      <c r="C54" s="99"/>
      <c r="D54" s="160" t="str">
        <f t="shared" si="4"/>
        <v>　</v>
      </c>
      <c r="E54" s="161" t="str">
        <f t="shared" si="3"/>
        <v xml:space="preserve">  </v>
      </c>
      <c r="F54" s="20" t="e">
        <f>INDEX('直管換算表（参考）'!$C$5:$I$26,MATCH(A54,'直管換算表（参考）'!$B$5:$B$26,0),MATCH(B54,'直管換算表（参考）'!$C$4:$I$4,0))</f>
        <v>#N/A</v>
      </c>
      <c r="G54" s="20" t="e">
        <f>VLOOKUP(C54,表!$E$2:$G$15,2,0)</f>
        <v>#N/A</v>
      </c>
    </row>
    <row r="55" spans="1:7">
      <c r="A55" s="98"/>
      <c r="B55" s="23"/>
      <c r="C55" s="99"/>
      <c r="D55" s="160" t="str">
        <f t="shared" si="4"/>
        <v>　</v>
      </c>
      <c r="E55" s="161" t="str">
        <f t="shared" si="3"/>
        <v xml:space="preserve">  </v>
      </c>
      <c r="F55" s="20" t="e">
        <f>INDEX('直管換算表（参考）'!$C$5:$I$26,MATCH(A55,'直管換算表（参考）'!$B$5:$B$26,0),MATCH(B55,'直管換算表（参考）'!$C$4:$I$4,0))</f>
        <v>#N/A</v>
      </c>
      <c r="G55" s="20" t="e">
        <f>VLOOKUP(C55,表!$E$2:$G$15,2,0)</f>
        <v>#N/A</v>
      </c>
    </row>
    <row r="56" spans="1:7">
      <c r="A56" s="98"/>
      <c r="B56" s="23"/>
      <c r="C56" s="99"/>
      <c r="D56" s="160" t="str">
        <f t="shared" si="4"/>
        <v>　</v>
      </c>
      <c r="E56" s="161" t="str">
        <f t="shared" si="3"/>
        <v xml:space="preserve">  </v>
      </c>
      <c r="F56" s="20" t="e">
        <f>INDEX('直管換算表（参考）'!$C$5:$I$26,MATCH(A56,'直管換算表（参考）'!$B$5:$B$26,0),MATCH(B56,'直管換算表（参考）'!$C$4:$I$4,0))</f>
        <v>#N/A</v>
      </c>
      <c r="G56" s="20" t="e">
        <f>VLOOKUP(C56,表!$E$2:$G$15,2,0)</f>
        <v>#N/A</v>
      </c>
    </row>
    <row r="57" spans="1:7">
      <c r="A57" s="98"/>
      <c r="B57" s="23"/>
      <c r="C57" s="99"/>
      <c r="D57" s="160" t="str">
        <f t="shared" si="4"/>
        <v>　</v>
      </c>
      <c r="E57" s="161" t="str">
        <f t="shared" si="3"/>
        <v xml:space="preserve">  </v>
      </c>
      <c r="F57" s="20" t="e">
        <f>INDEX('直管換算表（参考）'!$C$5:$I$26,MATCH(A57,'直管換算表（参考）'!$B$5:$B$26,0),MATCH(B57,'直管換算表（参考）'!$C$4:$I$4,0))</f>
        <v>#N/A</v>
      </c>
      <c r="G57" s="20" t="e">
        <f>VLOOKUP(C57,表!$E$2:$G$15,2,0)</f>
        <v>#N/A</v>
      </c>
    </row>
    <row r="58" spans="1:7">
      <c r="A58" s="98"/>
      <c r="B58" s="23"/>
      <c r="C58" s="99"/>
      <c r="D58" s="160" t="str">
        <f t="shared" si="4"/>
        <v>　</v>
      </c>
      <c r="E58" s="161" t="str">
        <f t="shared" si="3"/>
        <v xml:space="preserve">  </v>
      </c>
      <c r="F58" s="20" t="e">
        <f>INDEX('直管換算表（参考）'!$C$5:$I$26,MATCH(A58,'直管換算表（参考）'!$B$5:$B$26,0),MATCH(B58,'直管換算表（参考）'!$C$4:$I$4,0))</f>
        <v>#N/A</v>
      </c>
      <c r="G58" s="20" t="e">
        <f>VLOOKUP(C58,表!$E$2:$G$15,2,0)</f>
        <v>#N/A</v>
      </c>
    </row>
    <row r="59" spans="1:7">
      <c r="A59" s="98"/>
      <c r="B59" s="23"/>
      <c r="C59" s="99"/>
      <c r="D59" s="160" t="str">
        <f t="shared" si="4"/>
        <v>　</v>
      </c>
      <c r="E59" s="161" t="str">
        <f t="shared" si="3"/>
        <v xml:space="preserve">  </v>
      </c>
      <c r="F59" s="20" t="e">
        <f>INDEX('直管換算表（参考）'!$C$5:$I$26,MATCH(A59,'直管換算表（参考）'!$B$5:$B$26,0),MATCH(B59,'直管換算表（参考）'!$C$4:$I$4,0))</f>
        <v>#N/A</v>
      </c>
      <c r="G59" s="20" t="e">
        <f>VLOOKUP(C59,表!$E$2:$G$15,2,0)</f>
        <v>#N/A</v>
      </c>
    </row>
    <row r="60" spans="1:7">
      <c r="A60" s="98"/>
      <c r="B60" s="23"/>
      <c r="C60" s="99"/>
      <c r="D60" s="160" t="str">
        <f t="shared" si="4"/>
        <v>　</v>
      </c>
      <c r="E60" s="161" t="str">
        <f t="shared" si="3"/>
        <v xml:space="preserve">  </v>
      </c>
      <c r="F60" s="20" t="e">
        <f>INDEX('直管換算表（参考）'!$C$5:$I$26,MATCH(A60,'直管換算表（参考）'!$B$5:$B$26,0),MATCH(B60,'直管換算表（参考）'!$C$4:$I$4,0))</f>
        <v>#N/A</v>
      </c>
      <c r="G60" s="20" t="e">
        <f>VLOOKUP(C60,表!$E$2:$G$15,2,0)</f>
        <v>#N/A</v>
      </c>
    </row>
    <row r="61" spans="1:7" hidden="1">
      <c r="A61" s="98"/>
      <c r="B61" s="23"/>
      <c r="C61" s="99"/>
      <c r="D61" s="160" t="str">
        <f t="shared" si="4"/>
        <v>　</v>
      </c>
      <c r="E61" s="161" t="str">
        <f t="shared" si="3"/>
        <v xml:space="preserve">  </v>
      </c>
      <c r="F61" s="20" t="e">
        <f>INDEX('直管換算表（参考）'!$C$5:$I$26,MATCH(A61,'直管換算表（参考）'!$B$5:$B$26,0),MATCH(B61,'直管換算表（参考）'!$C$4:$I$4,0))</f>
        <v>#N/A</v>
      </c>
      <c r="G61" s="20" t="e">
        <f>VLOOKUP(C61,表!$E$2:$G$15,2,0)</f>
        <v>#N/A</v>
      </c>
    </row>
    <row r="62" spans="1:7" hidden="1">
      <c r="A62" s="98"/>
      <c r="B62" s="23"/>
      <c r="C62" s="99"/>
      <c r="D62" s="160" t="str">
        <f t="shared" si="4"/>
        <v>　</v>
      </c>
      <c r="E62" s="161" t="str">
        <f t="shared" si="3"/>
        <v xml:space="preserve">  </v>
      </c>
      <c r="F62" s="20" t="e">
        <f>INDEX('直管換算表（参考）'!$C$5:$I$26,MATCH(A62,'直管換算表（参考）'!$B$5:$B$26,0),MATCH(B62,'直管換算表（参考）'!$C$4:$I$4,0))</f>
        <v>#N/A</v>
      </c>
      <c r="G62" s="20" t="e">
        <f>VLOOKUP(C62,表!$E$2:$G$15,2,0)</f>
        <v>#N/A</v>
      </c>
    </row>
    <row r="63" spans="1:7" hidden="1">
      <c r="A63" s="98"/>
      <c r="B63" s="23"/>
      <c r="C63" s="99"/>
      <c r="D63" s="160" t="str">
        <f t="shared" si="4"/>
        <v>　</v>
      </c>
      <c r="E63" s="161" t="str">
        <f t="shared" si="3"/>
        <v xml:space="preserve">  </v>
      </c>
      <c r="F63" s="20" t="e">
        <f>INDEX('直管換算表（参考）'!$C$5:$I$26,MATCH(A63,'直管換算表（参考）'!$B$5:$B$26,0),MATCH(B63,'直管換算表（参考）'!$C$4:$I$4,0))</f>
        <v>#N/A</v>
      </c>
      <c r="G63" s="20" t="e">
        <f>VLOOKUP(C63,表!$E$2:$G$15,2,0)</f>
        <v>#N/A</v>
      </c>
    </row>
    <row r="64" spans="1:7" hidden="1">
      <c r="A64" s="98"/>
      <c r="B64" s="23"/>
      <c r="C64" s="99"/>
      <c r="D64" s="160" t="str">
        <f t="shared" si="4"/>
        <v>　</v>
      </c>
      <c r="E64" s="161" t="str">
        <f t="shared" si="3"/>
        <v xml:space="preserve">  </v>
      </c>
      <c r="F64" s="20" t="e">
        <f>INDEX('直管換算表（参考）'!$C$5:$I$26,MATCH(A64,'直管換算表（参考）'!$B$5:$B$26,0),MATCH(B64,'直管換算表（参考）'!$C$4:$I$4,0))</f>
        <v>#N/A</v>
      </c>
      <c r="G64" s="20" t="e">
        <f>VLOOKUP(C64,表!$E$2:$G$15,2,0)</f>
        <v>#N/A</v>
      </c>
    </row>
    <row r="65" spans="1:7" hidden="1">
      <c r="A65" s="98"/>
      <c r="B65" s="23"/>
      <c r="C65" s="99"/>
      <c r="D65" s="160" t="str">
        <f t="shared" si="4"/>
        <v>　</v>
      </c>
      <c r="E65" s="161" t="str">
        <f t="shared" si="3"/>
        <v xml:space="preserve">  </v>
      </c>
      <c r="F65" s="20" t="e">
        <f>INDEX('直管換算表（参考）'!$C$5:$I$26,MATCH(A65,'直管換算表（参考）'!$B$5:$B$26,0),MATCH(B65,'直管換算表（参考）'!$C$4:$I$4,0))</f>
        <v>#N/A</v>
      </c>
      <c r="G65" s="20" t="e">
        <f>VLOOKUP(C65,表!$E$2:$G$15,2,0)</f>
        <v>#N/A</v>
      </c>
    </row>
    <row r="66" spans="1:7" hidden="1">
      <c r="A66" s="98"/>
      <c r="B66" s="23"/>
      <c r="C66" s="99"/>
      <c r="D66" s="160" t="str">
        <f t="shared" si="4"/>
        <v>　</v>
      </c>
      <c r="E66" s="161" t="str">
        <f t="shared" si="3"/>
        <v xml:space="preserve">  </v>
      </c>
      <c r="F66" s="20" t="e">
        <f>INDEX('直管換算表（参考）'!$C$5:$I$26,MATCH(A66,'直管換算表（参考）'!$B$5:$B$26,0),MATCH(B66,'直管換算表（参考）'!$C$4:$I$4,0))</f>
        <v>#N/A</v>
      </c>
      <c r="G66" s="20" t="e">
        <f>VLOOKUP(C66,表!$E$2:$G$15,2,0)</f>
        <v>#N/A</v>
      </c>
    </row>
    <row r="67" spans="1:7" hidden="1">
      <c r="A67" s="98"/>
      <c r="B67" s="23"/>
      <c r="C67" s="99"/>
      <c r="D67" s="160" t="str">
        <f t="shared" si="4"/>
        <v>　</v>
      </c>
      <c r="E67" s="161" t="str">
        <f t="shared" si="3"/>
        <v xml:space="preserve">  </v>
      </c>
      <c r="F67" s="20" t="e">
        <f>INDEX('直管換算表（参考）'!$C$5:$I$26,MATCH(A67,'直管換算表（参考）'!$B$5:$B$26,0),MATCH(B67,'直管換算表（参考）'!$C$4:$I$4,0))</f>
        <v>#N/A</v>
      </c>
      <c r="G67" s="20" t="e">
        <f>VLOOKUP(C67,表!$E$2:$G$15,2,0)</f>
        <v>#N/A</v>
      </c>
    </row>
    <row r="68" spans="1:7" hidden="1">
      <c r="A68" s="98"/>
      <c r="B68" s="23"/>
      <c r="C68" s="99"/>
      <c r="D68" s="160" t="str">
        <f t="shared" si="4"/>
        <v>　</v>
      </c>
      <c r="E68" s="161" t="str">
        <f t="shared" si="3"/>
        <v xml:space="preserve">  </v>
      </c>
      <c r="F68" s="20" t="e">
        <f>INDEX('直管換算表（参考）'!$C$5:$I$26,MATCH(A68,'直管換算表（参考）'!$B$5:$B$26,0),MATCH(B68,'直管換算表（参考）'!$C$4:$I$4,0))</f>
        <v>#N/A</v>
      </c>
      <c r="G68" s="20" t="e">
        <f>VLOOKUP(C68,表!$E$2:$G$15,2,0)</f>
        <v>#N/A</v>
      </c>
    </row>
    <row r="69" spans="1:7" hidden="1">
      <c r="A69" s="98"/>
      <c r="B69" s="23"/>
      <c r="C69" s="99"/>
      <c r="D69" s="160" t="str">
        <f t="shared" si="4"/>
        <v>　</v>
      </c>
      <c r="E69" s="161" t="str">
        <f t="shared" si="3"/>
        <v xml:space="preserve">  </v>
      </c>
      <c r="F69" s="20" t="e">
        <f>INDEX('直管換算表（参考）'!$C$5:$I$26,MATCH(A69,'直管換算表（参考）'!$B$5:$B$26,0),MATCH(B69,'直管換算表（参考）'!$C$4:$I$4,0))</f>
        <v>#N/A</v>
      </c>
      <c r="G69" s="20" t="e">
        <f>VLOOKUP(C69,表!$E$2:$G$15,2,0)</f>
        <v>#N/A</v>
      </c>
    </row>
    <row r="70" spans="1:7" ht="27">
      <c r="A70" s="100" t="s">
        <v>5</v>
      </c>
      <c r="B70" s="36">
        <f>B7</f>
        <v>0</v>
      </c>
      <c r="C70" s="101" t="str">
        <f>B5</f>
        <v/>
      </c>
      <c r="D70" s="160" t="str">
        <f t="shared" si="4"/>
        <v>　</v>
      </c>
      <c r="E70" s="161" t="str">
        <f t="shared" si="3"/>
        <v xml:space="preserve">  </v>
      </c>
      <c r="F70" s="20" t="e">
        <f>INDEX('直管換算表（参考）'!$C$5:$I$26,MATCH(A70,'直管換算表（参考）'!$B$5:$B$26,0),MATCH(B70,'直管換算表（参考）'!$C$4:$I$4,0))</f>
        <v>#N/A</v>
      </c>
      <c r="G70" s="20" t="e">
        <f>VLOOKUP(C70,表!$E$2:$G$15,2,0)</f>
        <v>#N/A</v>
      </c>
    </row>
    <row r="71" spans="1:7">
      <c r="A71" s="100" t="s">
        <v>26</v>
      </c>
      <c r="B71" s="23"/>
      <c r="C71" s="101" t="str">
        <f>B5</f>
        <v/>
      </c>
      <c r="D71" s="160" t="str">
        <f t="shared" si="4"/>
        <v>　</v>
      </c>
      <c r="E71" s="161" t="str">
        <f t="shared" si="3"/>
        <v xml:space="preserve">  </v>
      </c>
      <c r="F71" s="20" t="e">
        <f>INDEX('直管換算表（参考）'!$C$7:$I$26,MATCH(A71,'直管換算表（参考）'!$B$7:$B$26,0),MATCH(B71,'直管換算表（参考）'!$C$4:$I$4,0))</f>
        <v>#N/A</v>
      </c>
      <c r="G71" s="20" t="e">
        <f>VLOOKUP(C71,表!$E$2:$G$15,2,0)</f>
        <v>#N/A</v>
      </c>
    </row>
    <row r="72" spans="1:7">
      <c r="A72" s="100" t="s">
        <v>24</v>
      </c>
      <c r="B72" s="23"/>
      <c r="C72" s="101" t="str">
        <f>B5</f>
        <v/>
      </c>
      <c r="D72" s="160" t="str">
        <f t="shared" si="4"/>
        <v>　</v>
      </c>
      <c r="E72" s="161" t="str">
        <f t="shared" si="3"/>
        <v xml:space="preserve">  </v>
      </c>
      <c r="F72" s="20" t="e">
        <f>INDEX('直管換算表（参考）'!$C$7:$I$26,MATCH(A72,'直管換算表（参考）'!$B$7:$B$26,0),MATCH(B72,'直管換算表（参考）'!$C$4:$I$4,0))</f>
        <v>#N/A</v>
      </c>
      <c r="G72" s="20" t="e">
        <f>VLOOKUP(C72,表!$E$2:$G$15,2,0)</f>
        <v>#N/A</v>
      </c>
    </row>
    <row r="73" spans="1:7" ht="14.25" thickBot="1">
      <c r="A73" s="102" t="s">
        <v>2</v>
      </c>
      <c r="B73" s="103"/>
      <c r="C73" s="104" t="str">
        <f>B5</f>
        <v/>
      </c>
      <c r="D73" s="172" t="str">
        <f t="shared" si="4"/>
        <v>　</v>
      </c>
      <c r="E73" s="163" t="str">
        <f t="shared" si="3"/>
        <v xml:space="preserve">  </v>
      </c>
      <c r="F73" s="20" t="e">
        <f>INDEX('直管換算表（参考）'!$C$7:$I$26,MATCH(A73,'直管換算表（参考）'!$B$7:$B$26,0),MATCH(B73,'直管換算表（参考）'!$C$4:$I$4,0))</f>
        <v>#N/A</v>
      </c>
      <c r="G73" s="20" t="e">
        <f>VLOOKUP(C73,表!$E$2:$G$15,2,0)</f>
        <v>#N/A</v>
      </c>
    </row>
    <row r="74" spans="1:7" ht="14.25" thickBot="1">
      <c r="B74" s="11"/>
      <c r="C74"/>
      <c r="D74" s="70">
        <f>SUM(D40:D73)</f>
        <v>0</v>
      </c>
      <c r="E74" s="3"/>
    </row>
    <row r="75" spans="1:7" ht="15" thickTop="1" thickBot="1">
      <c r="A75" s="24" t="s">
        <v>61</v>
      </c>
      <c r="B75" s="11"/>
      <c r="C75"/>
      <c r="D75" s="10"/>
      <c r="E75" s="10"/>
    </row>
    <row r="76" spans="1:7" ht="15" thickTop="1" thickBot="1">
      <c r="A76" s="39" t="s">
        <v>49</v>
      </c>
      <c r="B76" s="40" t="str">
        <f>IFERROR(SUM(F2+D37+D74+F8+F9+B11*表!G19)*0.0098,"")</f>
        <v/>
      </c>
      <c r="C76" s="38" t="s">
        <v>48</v>
      </c>
      <c r="D76" s="183" t="str">
        <f>IF(B3&gt;B76,"OK","NG")</f>
        <v>NG</v>
      </c>
      <c r="E76" s="183"/>
    </row>
    <row r="77" spans="1:7" ht="13.5" customHeight="1" thickTop="1" thickBot="1">
      <c r="A77" s="180" t="s">
        <v>50</v>
      </c>
      <c r="B77" s="181">
        <f>MAX(E12:E73)</f>
        <v>0</v>
      </c>
      <c r="C77" s="182" t="s">
        <v>51</v>
      </c>
      <c r="D77" s="184" t="str">
        <f>IF(B77&lt;=2,"2m/sec以内で問題なし","NG　　　　　　　　　　　　　　　　　　　　　　ウォータハンマの恐れあり")</f>
        <v>2m/sec以内で問題なし</v>
      </c>
      <c r="E77" s="185"/>
    </row>
    <row r="78" spans="1:7" ht="15" thickTop="1" thickBot="1">
      <c r="A78" s="180"/>
      <c r="B78" s="181"/>
      <c r="C78" s="182"/>
      <c r="D78" s="186"/>
      <c r="E78" s="187"/>
    </row>
    <row r="79" spans="1:7" ht="14.25" thickTop="1">
      <c r="A79" t="s">
        <v>113</v>
      </c>
    </row>
  </sheetData>
  <protectedRanges>
    <protectedRange sqref="D12:E36" name="範囲1"/>
  </protectedRanges>
  <mergeCells count="6">
    <mergeCell ref="D1:E1"/>
    <mergeCell ref="A77:A78"/>
    <mergeCell ref="B77:B78"/>
    <mergeCell ref="C77:C78"/>
    <mergeCell ref="D76:E76"/>
    <mergeCell ref="D77:E78"/>
  </mergeCells>
  <phoneticPr fontId="1"/>
  <conditionalFormatting sqref="E12:E32">
    <cfRule type="cellIs" dxfId="381" priority="178" operator="greaterThan">
      <formula>2</formula>
    </cfRule>
  </conditionalFormatting>
  <conditionalFormatting sqref="B16:B19">
    <cfRule type="expression" dxfId="380" priority="174">
      <formula>$B$7&gt;=20</formula>
    </cfRule>
  </conditionalFormatting>
  <conditionalFormatting sqref="B12:B15">
    <cfRule type="expression" dxfId="379" priority="173">
      <formula>$B$7&gt;=13</formula>
    </cfRule>
  </conditionalFormatting>
  <conditionalFormatting sqref="B15">
    <cfRule type="expression" dxfId="378" priority="172">
      <formula>$B$5&lt;3</formula>
    </cfRule>
  </conditionalFormatting>
  <conditionalFormatting sqref="B14">
    <cfRule type="expression" dxfId="377" priority="171">
      <formula>$B$5&lt;2</formula>
    </cfRule>
  </conditionalFormatting>
  <conditionalFormatting sqref="B19">
    <cfRule type="expression" dxfId="376" priority="170">
      <formula>$B$5&lt;3</formula>
    </cfRule>
  </conditionalFormatting>
  <conditionalFormatting sqref="B18">
    <cfRule type="expression" dxfId="375" priority="169">
      <formula>$B$5&lt;2</formula>
    </cfRule>
  </conditionalFormatting>
  <conditionalFormatting sqref="D13:E13">
    <cfRule type="expression" dxfId="374" priority="157">
      <formula>$B$13&gt;0</formula>
    </cfRule>
  </conditionalFormatting>
  <conditionalFormatting sqref="D14:E14">
    <cfRule type="expression" dxfId="373" priority="156">
      <formula>$B$14&gt;0</formula>
    </cfRule>
  </conditionalFormatting>
  <conditionalFormatting sqref="D15:E15">
    <cfRule type="expression" dxfId="372" priority="155">
      <formula>$B$15&gt;0</formula>
    </cfRule>
  </conditionalFormatting>
  <conditionalFormatting sqref="D17:E17">
    <cfRule type="expression" dxfId="371" priority="154">
      <formula>$B$17&gt;0</formula>
    </cfRule>
  </conditionalFormatting>
  <conditionalFormatting sqref="D18:E18">
    <cfRule type="expression" dxfId="370" priority="153">
      <formula>$B$18&gt;0</formula>
    </cfRule>
  </conditionalFormatting>
  <conditionalFormatting sqref="D19:E19">
    <cfRule type="expression" dxfId="369" priority="152">
      <formula>$B$19&gt;0</formula>
    </cfRule>
  </conditionalFormatting>
  <conditionalFormatting sqref="D21:E21">
    <cfRule type="expression" dxfId="368" priority="151">
      <formula>$B$21&gt;0</formula>
    </cfRule>
  </conditionalFormatting>
  <conditionalFormatting sqref="D22:E22">
    <cfRule type="expression" dxfId="367" priority="150">
      <formula>$B$22&gt;0</formula>
    </cfRule>
  </conditionalFormatting>
  <conditionalFormatting sqref="D23:E23">
    <cfRule type="expression" dxfId="366" priority="149">
      <formula>$B$23&gt;0</formula>
    </cfRule>
  </conditionalFormatting>
  <conditionalFormatting sqref="D25:E25">
    <cfRule type="expression" dxfId="365" priority="148">
      <formula>$B$25&gt;0</formula>
    </cfRule>
  </conditionalFormatting>
  <conditionalFormatting sqref="D26:E26">
    <cfRule type="expression" dxfId="364" priority="147">
      <formula>$B$26&gt;0</formula>
    </cfRule>
  </conditionalFormatting>
  <conditionalFormatting sqref="D27:E27">
    <cfRule type="expression" dxfId="363" priority="146">
      <formula>$B$27&gt;0</formula>
    </cfRule>
  </conditionalFormatting>
  <conditionalFormatting sqref="D28:E28">
    <cfRule type="expression" dxfId="362" priority="145">
      <formula>$B$28&gt;0</formula>
    </cfRule>
  </conditionalFormatting>
  <conditionalFormatting sqref="D30:E30">
    <cfRule type="expression" dxfId="361" priority="144">
      <formula>$B$30&gt;0</formula>
    </cfRule>
  </conditionalFormatting>
  <conditionalFormatting sqref="D31:E31">
    <cfRule type="expression" dxfId="360" priority="143">
      <formula>$B$31&gt;0</formula>
    </cfRule>
  </conditionalFormatting>
  <conditionalFormatting sqref="D32:E32">
    <cfRule type="expression" dxfId="359" priority="142">
      <formula>$B$32&gt;0</formula>
    </cfRule>
  </conditionalFormatting>
  <conditionalFormatting sqref="D33:E33">
    <cfRule type="expression" dxfId="358" priority="141">
      <formula>$B$33&gt;0</formula>
    </cfRule>
  </conditionalFormatting>
  <conditionalFormatting sqref="D34:E34">
    <cfRule type="expression" dxfId="357" priority="140">
      <formula>$B$34&gt;0</formula>
    </cfRule>
  </conditionalFormatting>
  <conditionalFormatting sqref="D35:E35">
    <cfRule type="expression" dxfId="356" priority="139">
      <formula>$B$35&gt;0</formula>
    </cfRule>
  </conditionalFormatting>
  <conditionalFormatting sqref="D36:E36">
    <cfRule type="expression" dxfId="355" priority="138">
      <formula>$B$36&gt;0</formula>
    </cfRule>
  </conditionalFormatting>
  <conditionalFormatting sqref="D40:E40">
    <cfRule type="expression" dxfId="354" priority="120">
      <formula>$B$40&gt;0</formula>
    </cfRule>
  </conditionalFormatting>
  <conditionalFormatting sqref="D41">
    <cfRule type="expression" dxfId="353" priority="119">
      <formula>$B$41&gt;0</formula>
    </cfRule>
  </conditionalFormatting>
  <conditionalFormatting sqref="D42">
    <cfRule type="expression" dxfId="352" priority="118">
      <formula>$B$42&gt;0</formula>
    </cfRule>
  </conditionalFormatting>
  <conditionalFormatting sqref="D43">
    <cfRule type="expression" dxfId="351" priority="117">
      <formula>$B$43&gt;0</formula>
    </cfRule>
  </conditionalFormatting>
  <conditionalFormatting sqref="E47">
    <cfRule type="expression" dxfId="350" priority="112">
      <formula>$B$47&gt;0</formula>
    </cfRule>
  </conditionalFormatting>
  <conditionalFormatting sqref="E48">
    <cfRule type="expression" dxfId="349" priority="111">
      <formula>$B$48&gt;0</formula>
    </cfRule>
  </conditionalFormatting>
  <conditionalFormatting sqref="E49">
    <cfRule type="expression" dxfId="348" priority="110">
      <formula>$B$49&gt;0</formula>
    </cfRule>
  </conditionalFormatting>
  <conditionalFormatting sqref="E50">
    <cfRule type="expression" dxfId="347" priority="109">
      <formula>$B$50&gt;0</formula>
    </cfRule>
  </conditionalFormatting>
  <conditionalFormatting sqref="E51">
    <cfRule type="expression" dxfId="346" priority="108">
      <formula>$B$51&gt;0</formula>
    </cfRule>
  </conditionalFormatting>
  <conditionalFormatting sqref="E52">
    <cfRule type="expression" dxfId="345" priority="107">
      <formula>$B$52&gt;0</formula>
    </cfRule>
  </conditionalFormatting>
  <conditionalFormatting sqref="E53">
    <cfRule type="expression" dxfId="344" priority="106">
      <formula>$B$53&gt;0</formula>
    </cfRule>
  </conditionalFormatting>
  <conditionalFormatting sqref="E54">
    <cfRule type="expression" dxfId="343" priority="105">
      <formula>$B$54&gt;0</formula>
    </cfRule>
  </conditionalFormatting>
  <conditionalFormatting sqref="E55">
    <cfRule type="expression" dxfId="342" priority="104">
      <formula>$B$55&gt;0</formula>
    </cfRule>
  </conditionalFormatting>
  <conditionalFormatting sqref="E56">
    <cfRule type="expression" dxfId="341" priority="103">
      <formula>$B$56&gt;0</formula>
    </cfRule>
  </conditionalFormatting>
  <conditionalFormatting sqref="E57">
    <cfRule type="expression" dxfId="340" priority="102">
      <formula>$B$57&gt;0</formula>
    </cfRule>
  </conditionalFormatting>
  <conditionalFormatting sqref="E58">
    <cfRule type="expression" dxfId="339" priority="101">
      <formula>$B$58&gt;0</formula>
    </cfRule>
  </conditionalFormatting>
  <conditionalFormatting sqref="E59">
    <cfRule type="expression" dxfId="338" priority="100">
      <formula>$B$59&gt;0</formula>
    </cfRule>
  </conditionalFormatting>
  <conditionalFormatting sqref="E60">
    <cfRule type="expression" dxfId="337" priority="99">
      <formula>$B$60&gt;0</formula>
    </cfRule>
  </conditionalFormatting>
  <conditionalFormatting sqref="E61">
    <cfRule type="expression" dxfId="336" priority="98">
      <formula>$B$61&gt;0</formula>
    </cfRule>
  </conditionalFormatting>
  <conditionalFormatting sqref="E62">
    <cfRule type="expression" dxfId="335" priority="97">
      <formula>$B$62&gt;0</formula>
    </cfRule>
  </conditionalFormatting>
  <conditionalFormatting sqref="E63">
    <cfRule type="expression" dxfId="334" priority="96">
      <formula>$B$63&gt;0</formula>
    </cfRule>
  </conditionalFormatting>
  <conditionalFormatting sqref="E64">
    <cfRule type="expression" dxfId="333" priority="95">
      <formula>$B$64&gt;0</formula>
    </cfRule>
  </conditionalFormatting>
  <conditionalFormatting sqref="E65">
    <cfRule type="expression" dxfId="332" priority="94">
      <formula>$B$65&gt;0</formula>
    </cfRule>
  </conditionalFormatting>
  <conditionalFormatting sqref="E66">
    <cfRule type="expression" dxfId="331" priority="93">
      <formula>$B$66&gt;0</formula>
    </cfRule>
  </conditionalFormatting>
  <conditionalFormatting sqref="E67">
    <cfRule type="expression" dxfId="330" priority="92">
      <formula>$B$67&gt;0</formula>
    </cfRule>
  </conditionalFormatting>
  <conditionalFormatting sqref="E68">
    <cfRule type="expression" dxfId="329" priority="91">
      <formula>$B$68&gt;0</formula>
    </cfRule>
  </conditionalFormatting>
  <conditionalFormatting sqref="E69">
    <cfRule type="expression" dxfId="328" priority="90">
      <formula>$B$69&gt;0</formula>
    </cfRule>
  </conditionalFormatting>
  <conditionalFormatting sqref="E70">
    <cfRule type="expression" dxfId="327" priority="89">
      <formula>$B$70&gt;0</formula>
    </cfRule>
  </conditionalFormatting>
  <conditionalFormatting sqref="E71">
    <cfRule type="expression" dxfId="326" priority="88">
      <formula>$B$71&gt;0</formula>
    </cfRule>
  </conditionalFormatting>
  <conditionalFormatting sqref="E72">
    <cfRule type="expression" dxfId="325" priority="87">
      <formula>$B$72&gt;0</formula>
    </cfRule>
  </conditionalFormatting>
  <conditionalFormatting sqref="E73">
    <cfRule type="expression" dxfId="324" priority="86">
      <formula>$B$73&gt;0</formula>
    </cfRule>
  </conditionalFormatting>
  <conditionalFormatting sqref="E40">
    <cfRule type="cellIs" dxfId="323" priority="85" operator="greaterThan">
      <formula>2</formula>
    </cfRule>
  </conditionalFormatting>
  <conditionalFormatting sqref="E41">
    <cfRule type="expression" dxfId="322" priority="84">
      <formula>$B$41&gt;0</formula>
    </cfRule>
  </conditionalFormatting>
  <conditionalFormatting sqref="E41">
    <cfRule type="cellIs" dxfId="321" priority="83" operator="greaterThan">
      <formula>2</formula>
    </cfRule>
  </conditionalFormatting>
  <conditionalFormatting sqref="E42">
    <cfRule type="expression" dxfId="320" priority="82">
      <formula>$B$42&gt;0</formula>
    </cfRule>
  </conditionalFormatting>
  <conditionalFormatting sqref="E42">
    <cfRule type="cellIs" dxfId="319" priority="81" operator="greaterThan">
      <formula>2</formula>
    </cfRule>
  </conditionalFormatting>
  <conditionalFormatting sqref="E43">
    <cfRule type="expression" dxfId="318" priority="80">
      <formula>$B$43&gt;0</formula>
    </cfRule>
  </conditionalFormatting>
  <conditionalFormatting sqref="E43">
    <cfRule type="cellIs" dxfId="317" priority="79" operator="greaterThan">
      <formula>2</formula>
    </cfRule>
  </conditionalFormatting>
  <conditionalFormatting sqref="E44">
    <cfRule type="expression" dxfId="316" priority="78">
      <formula>$B$44&gt;0</formula>
    </cfRule>
  </conditionalFormatting>
  <conditionalFormatting sqref="E44">
    <cfRule type="cellIs" dxfId="315" priority="77" operator="greaterThan">
      <formula>2</formula>
    </cfRule>
  </conditionalFormatting>
  <conditionalFormatting sqref="E45">
    <cfRule type="expression" dxfId="314" priority="76">
      <formula>$B$45&gt;0</formula>
    </cfRule>
  </conditionalFormatting>
  <conditionalFormatting sqref="E45">
    <cfRule type="cellIs" dxfId="313" priority="75" operator="greaterThan">
      <formula>2</formula>
    </cfRule>
  </conditionalFormatting>
  <conditionalFormatting sqref="E46">
    <cfRule type="expression" dxfId="312" priority="74">
      <formula>$B$46&gt;0</formula>
    </cfRule>
  </conditionalFormatting>
  <conditionalFormatting sqref="E46">
    <cfRule type="cellIs" dxfId="311" priority="73" operator="greaterThan">
      <formula>2</formula>
    </cfRule>
  </conditionalFormatting>
  <conditionalFormatting sqref="E47">
    <cfRule type="cellIs" dxfId="310" priority="72" operator="greaterThan">
      <formula>2</formula>
    </cfRule>
  </conditionalFormatting>
  <conditionalFormatting sqref="E48">
    <cfRule type="cellIs" dxfId="309" priority="71" operator="greaterThan">
      <formula>2</formula>
    </cfRule>
  </conditionalFormatting>
  <conditionalFormatting sqref="E49">
    <cfRule type="cellIs" dxfId="308" priority="70" operator="greaterThan">
      <formula>2</formula>
    </cfRule>
  </conditionalFormatting>
  <conditionalFormatting sqref="E50">
    <cfRule type="cellIs" dxfId="307" priority="69" operator="greaterThan">
      <formula>2</formula>
    </cfRule>
  </conditionalFormatting>
  <conditionalFormatting sqref="E51">
    <cfRule type="cellIs" dxfId="306" priority="68" operator="greaterThan">
      <formula>2</formula>
    </cfRule>
  </conditionalFormatting>
  <conditionalFormatting sqref="E52">
    <cfRule type="cellIs" dxfId="305" priority="67" operator="greaterThan">
      <formula>2</formula>
    </cfRule>
  </conditionalFormatting>
  <conditionalFormatting sqref="E53">
    <cfRule type="cellIs" dxfId="304" priority="66" operator="greaterThan">
      <formula>2</formula>
    </cfRule>
  </conditionalFormatting>
  <conditionalFormatting sqref="E54">
    <cfRule type="cellIs" dxfId="303" priority="65" operator="greaterThan">
      <formula>2</formula>
    </cfRule>
  </conditionalFormatting>
  <conditionalFormatting sqref="E55">
    <cfRule type="cellIs" dxfId="302" priority="64" operator="greaterThan">
      <formula>2</formula>
    </cfRule>
  </conditionalFormatting>
  <conditionalFormatting sqref="E56">
    <cfRule type="cellIs" dxfId="301" priority="63" operator="greaterThan">
      <formula>2</formula>
    </cfRule>
  </conditionalFormatting>
  <conditionalFormatting sqref="E57">
    <cfRule type="cellIs" dxfId="300" priority="62" operator="greaterThan">
      <formula>2</formula>
    </cfRule>
  </conditionalFormatting>
  <conditionalFormatting sqref="E58">
    <cfRule type="cellIs" dxfId="299" priority="61" operator="greaterThan">
      <formula>2</formula>
    </cfRule>
  </conditionalFormatting>
  <conditionalFormatting sqref="E59">
    <cfRule type="cellIs" dxfId="298" priority="60" operator="greaterThan">
      <formula>2</formula>
    </cfRule>
  </conditionalFormatting>
  <conditionalFormatting sqref="E60">
    <cfRule type="cellIs" dxfId="297" priority="59" operator="greaterThan">
      <formula>2</formula>
    </cfRule>
  </conditionalFormatting>
  <conditionalFormatting sqref="E61">
    <cfRule type="cellIs" dxfId="296" priority="58" operator="greaterThan">
      <formula>2</formula>
    </cfRule>
  </conditionalFormatting>
  <conditionalFormatting sqref="E62">
    <cfRule type="cellIs" dxfId="295" priority="57" operator="greaterThan">
      <formula>2</formula>
    </cfRule>
  </conditionalFormatting>
  <conditionalFormatting sqref="E63">
    <cfRule type="cellIs" dxfId="294" priority="56" operator="greaterThan">
      <formula>2</formula>
    </cfRule>
  </conditionalFormatting>
  <conditionalFormatting sqref="E64">
    <cfRule type="cellIs" dxfId="293" priority="55" operator="greaterThan">
      <formula>2</formula>
    </cfRule>
  </conditionalFormatting>
  <conditionalFormatting sqref="E65">
    <cfRule type="cellIs" dxfId="292" priority="54" operator="greaterThan">
      <formula>2</formula>
    </cfRule>
  </conditionalFormatting>
  <conditionalFormatting sqref="E66">
    <cfRule type="cellIs" dxfId="291" priority="53" operator="greaterThan">
      <formula>2</formula>
    </cfRule>
  </conditionalFormatting>
  <conditionalFormatting sqref="E67">
    <cfRule type="cellIs" dxfId="290" priority="52" operator="greaterThan">
      <formula>2</formula>
    </cfRule>
  </conditionalFormatting>
  <conditionalFormatting sqref="E68">
    <cfRule type="cellIs" dxfId="289" priority="51" operator="greaterThan">
      <formula>2</formula>
    </cfRule>
  </conditionalFormatting>
  <conditionalFormatting sqref="E69">
    <cfRule type="cellIs" dxfId="288" priority="50" operator="greaterThan">
      <formula>2</formula>
    </cfRule>
  </conditionalFormatting>
  <conditionalFormatting sqref="E70">
    <cfRule type="cellIs" dxfId="287" priority="49" operator="greaterThan">
      <formula>2</formula>
    </cfRule>
  </conditionalFormatting>
  <conditionalFormatting sqref="E71">
    <cfRule type="cellIs" dxfId="286" priority="48" operator="greaterThan">
      <formula>2</formula>
    </cfRule>
  </conditionalFormatting>
  <conditionalFormatting sqref="E72">
    <cfRule type="cellIs" dxfId="285" priority="47" operator="greaterThan">
      <formula>2</formula>
    </cfRule>
  </conditionalFormatting>
  <conditionalFormatting sqref="E73">
    <cfRule type="cellIs" dxfId="284" priority="46" operator="greaterThan">
      <formula>2</formula>
    </cfRule>
  </conditionalFormatting>
  <conditionalFormatting sqref="D44">
    <cfRule type="expression" dxfId="283" priority="45">
      <formula>$B$44&gt;0</formula>
    </cfRule>
  </conditionalFormatting>
  <conditionalFormatting sqref="D45">
    <cfRule type="expression" dxfId="282" priority="44">
      <formula>$B$45&gt;0</formula>
    </cfRule>
  </conditionalFormatting>
  <conditionalFormatting sqref="D46">
    <cfRule type="expression" dxfId="281" priority="43">
      <formula>$B$46&gt;0</formula>
    </cfRule>
  </conditionalFormatting>
  <conditionalFormatting sqref="D47">
    <cfRule type="expression" dxfId="280" priority="42">
      <formula>$B$47&gt;0</formula>
    </cfRule>
  </conditionalFormatting>
  <conditionalFormatting sqref="D48">
    <cfRule type="expression" dxfId="279" priority="41">
      <formula>$B$48&gt;0</formula>
    </cfRule>
  </conditionalFormatting>
  <conditionalFormatting sqref="D49">
    <cfRule type="expression" dxfId="278" priority="40">
      <formula>$B$49&gt;0</formula>
    </cfRule>
  </conditionalFormatting>
  <conditionalFormatting sqref="D50">
    <cfRule type="expression" dxfId="277" priority="39">
      <formula>$B$50&gt;0</formula>
    </cfRule>
  </conditionalFormatting>
  <conditionalFormatting sqref="D51">
    <cfRule type="expression" dxfId="276" priority="38">
      <formula>$B$51&gt;0</formula>
    </cfRule>
  </conditionalFormatting>
  <conditionalFormatting sqref="D52">
    <cfRule type="expression" dxfId="275" priority="37">
      <formula>$B$52&gt;0</formula>
    </cfRule>
  </conditionalFormatting>
  <conditionalFormatting sqref="D53">
    <cfRule type="expression" dxfId="274" priority="36">
      <formula>$B$53&gt;0</formula>
    </cfRule>
  </conditionalFormatting>
  <conditionalFormatting sqref="D54">
    <cfRule type="expression" dxfId="273" priority="35">
      <formula>$B$54&gt;0</formula>
    </cfRule>
  </conditionalFormatting>
  <conditionalFormatting sqref="D55">
    <cfRule type="expression" dxfId="272" priority="34">
      <formula>$B$55&gt;0</formula>
    </cfRule>
  </conditionalFormatting>
  <conditionalFormatting sqref="D56">
    <cfRule type="expression" dxfId="271" priority="33">
      <formula>$B$56&gt;0</formula>
    </cfRule>
  </conditionalFormatting>
  <conditionalFormatting sqref="D57">
    <cfRule type="expression" dxfId="270" priority="32">
      <formula>$B$57&gt;0</formula>
    </cfRule>
  </conditionalFormatting>
  <conditionalFormatting sqref="D58">
    <cfRule type="expression" dxfId="269" priority="31">
      <formula>$B$58&gt;0</formula>
    </cfRule>
  </conditionalFormatting>
  <conditionalFormatting sqref="D59">
    <cfRule type="expression" dxfId="268" priority="30">
      <formula>$B$59&gt;0</formula>
    </cfRule>
  </conditionalFormatting>
  <conditionalFormatting sqref="D60">
    <cfRule type="expression" dxfId="267" priority="29">
      <formula>$B$60&gt;0</formula>
    </cfRule>
  </conditionalFormatting>
  <conditionalFormatting sqref="D61">
    <cfRule type="expression" dxfId="266" priority="28">
      <formula>$B$61&gt;0</formula>
    </cfRule>
  </conditionalFormatting>
  <conditionalFormatting sqref="D62">
    <cfRule type="expression" dxfId="265" priority="27">
      <formula>$B$62&gt;0</formula>
    </cfRule>
  </conditionalFormatting>
  <conditionalFormatting sqref="D63">
    <cfRule type="expression" dxfId="264" priority="26">
      <formula>$B$63&gt;0</formula>
    </cfRule>
  </conditionalFormatting>
  <conditionalFormatting sqref="D64">
    <cfRule type="expression" dxfId="263" priority="25">
      <formula>$B$64&gt;0</formula>
    </cfRule>
  </conditionalFormatting>
  <conditionalFormatting sqref="D65">
    <cfRule type="expression" dxfId="262" priority="24">
      <formula>$B$65&gt;0</formula>
    </cfRule>
  </conditionalFormatting>
  <conditionalFormatting sqref="D66">
    <cfRule type="expression" dxfId="261" priority="23">
      <formula>$B$66&gt;0</formula>
    </cfRule>
  </conditionalFormatting>
  <conditionalFormatting sqref="D67">
    <cfRule type="expression" dxfId="260" priority="22">
      <formula>$B$67&gt;0</formula>
    </cfRule>
  </conditionalFormatting>
  <conditionalFormatting sqref="D68">
    <cfRule type="expression" dxfId="259" priority="21">
      <formula>$B$68&gt;0</formula>
    </cfRule>
  </conditionalFormatting>
  <conditionalFormatting sqref="D69">
    <cfRule type="expression" dxfId="258" priority="20">
      <formula>$B$69&gt;0</formula>
    </cfRule>
  </conditionalFormatting>
  <conditionalFormatting sqref="D70">
    <cfRule type="expression" dxfId="257" priority="19">
      <formula>$B$70&gt;0</formula>
    </cfRule>
  </conditionalFormatting>
  <conditionalFormatting sqref="D71">
    <cfRule type="expression" dxfId="256" priority="18">
      <formula>$B$71&gt;0</formula>
    </cfRule>
  </conditionalFormatting>
  <conditionalFormatting sqref="D72">
    <cfRule type="expression" dxfId="255" priority="17">
      <formula>$B$72&gt;0</formula>
    </cfRule>
  </conditionalFormatting>
  <conditionalFormatting sqref="D73">
    <cfRule type="expression" dxfId="254" priority="15">
      <formula>$B$73&gt;0</formula>
    </cfRule>
  </conditionalFormatting>
  <conditionalFormatting sqref="B20:B23">
    <cfRule type="expression" dxfId="253" priority="14">
      <formula>$B$7&gt;=20</formula>
    </cfRule>
  </conditionalFormatting>
  <conditionalFormatting sqref="B24:B28">
    <cfRule type="expression" dxfId="252" priority="13">
      <formula>$B$7&gt;=25</formula>
    </cfRule>
  </conditionalFormatting>
  <conditionalFormatting sqref="B29:B36">
    <cfRule type="expression" dxfId="251" priority="12">
      <formula>$B$7&gt;=30</formula>
    </cfRule>
  </conditionalFormatting>
  <conditionalFormatting sqref="B22">
    <cfRule type="expression" dxfId="250" priority="11">
      <formula>$B$5&lt;2</formula>
    </cfRule>
  </conditionalFormatting>
  <conditionalFormatting sqref="B23">
    <cfRule type="expression" dxfId="249" priority="10">
      <formula>$B$5&lt;3</formula>
    </cfRule>
  </conditionalFormatting>
  <conditionalFormatting sqref="B26">
    <cfRule type="expression" dxfId="248" priority="9">
      <formula>$B$5&lt;2</formula>
    </cfRule>
  </conditionalFormatting>
  <conditionalFormatting sqref="B27">
    <cfRule type="expression" dxfId="247" priority="8">
      <formula>$B$5&lt;3</formula>
    </cfRule>
  </conditionalFormatting>
  <conditionalFormatting sqref="B28">
    <cfRule type="expression" dxfId="246" priority="7">
      <formula>$B$5&lt;4</formula>
    </cfRule>
  </conditionalFormatting>
  <conditionalFormatting sqref="B31">
    <cfRule type="expression" dxfId="245" priority="6">
      <formula>$B$5&lt;2</formula>
    </cfRule>
  </conditionalFormatting>
  <conditionalFormatting sqref="B32">
    <cfRule type="expression" dxfId="244" priority="5">
      <formula>$B$5&lt;3</formula>
    </cfRule>
  </conditionalFormatting>
  <conditionalFormatting sqref="B33">
    <cfRule type="expression" dxfId="243" priority="4">
      <formula>$B$5&lt;4</formula>
    </cfRule>
  </conditionalFormatting>
  <conditionalFormatting sqref="B34">
    <cfRule type="expression" dxfId="242" priority="3">
      <formula>$B$5&lt;5</formula>
    </cfRule>
  </conditionalFormatting>
  <conditionalFormatting sqref="B35">
    <cfRule type="expression" dxfId="241" priority="2">
      <formula>$B$5&lt;6</formula>
    </cfRule>
  </conditionalFormatting>
  <conditionalFormatting sqref="B36">
    <cfRule type="expression" dxfId="240" priority="1">
      <formula>$B$5&lt;7</formula>
    </cfRule>
  </conditionalFormatting>
  <printOptions horizontalCentered="1" verticalCentered="1"/>
  <pageMargins left="0.70866141732283472" right="0.70866141732283472" top="0.74803149606299213" bottom="0.74803149606299213" header="0.31496062992125984" footer="0.31496062992125984"/>
  <pageSetup paperSize="9" scale="83" orientation="portrait" r:id="rId1"/>
  <headerFooter>
    <oddHeader>&amp;C&amp;"-,太字"&amp;12前橋市簡易版水理計算シート（一般住宅用）　&amp;R令和1年10月～</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'直管換算表（参考）'!$C$4:$I$4</xm:f>
          </x14:formula1>
          <xm:sqref>B7 B40:B73</xm:sqref>
        </x14:dataValidation>
        <x14:dataValidation type="list" allowBlank="1" showInputMessage="1" showErrorMessage="1">
          <x14:formula1>
            <xm:f>'直管換算表（参考）'!$B$34:$B$36</xm:f>
          </x14:formula1>
          <xm:sqref>B8</xm:sqref>
        </x14:dataValidation>
        <x14:dataValidation type="list" allowBlank="1" showInputMessage="1" showErrorMessage="1">
          <x14:formula1>
            <xm:f>表!$E$19:$E$20</xm:f>
          </x14:formula1>
          <xm:sqref>B9</xm:sqref>
        </x14:dataValidation>
        <x14:dataValidation type="list" allowBlank="1" showInputMessage="1" showErrorMessage="1">
          <x14:formula1>
            <xm:f>表!$E$23:$E$25</xm:f>
          </x14:formula1>
          <xm:sqref>B2</xm:sqref>
        </x14:dataValidation>
        <x14:dataValidation type="list" allowBlank="1" showInputMessage="1" showErrorMessage="1">
          <x14:formula1>
            <xm:f>表!$E$3:$E$8</xm:f>
          </x14:formula1>
          <xm:sqref>C40:C73</xm:sqref>
        </x14:dataValidation>
        <x14:dataValidation type="list" allowBlank="1" showInputMessage="1" showErrorMessage="1">
          <x14:formula1>
            <xm:f>'直管換算表（参考）'!$B$5:$B$19</xm:f>
          </x14:formula1>
          <xm:sqref>A56:A69</xm:sqref>
        </x14:dataValidation>
        <x14:dataValidation type="list" allowBlank="1" showInputMessage="1" showErrorMessage="1">
          <x14:formula1>
            <xm:f>'直管換算表（参考）'!$B$7:$B$26</xm:f>
          </x14:formula1>
          <xm:sqref>A70:A73</xm:sqref>
        </x14:dataValidation>
        <x14:dataValidation type="list" allowBlank="1" showInputMessage="1" showErrorMessage="1">
          <x14:formula1>
            <xm:f>'直管換算表（参考）'!$B$5:$B$26</xm:f>
          </x14:formula1>
          <xm:sqref>A40:A55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2"/>
  <sheetViews>
    <sheetView zoomScaleNormal="100" workbookViewId="0">
      <selection activeCell="D1" sqref="D1:E1"/>
    </sheetView>
  </sheetViews>
  <sheetFormatPr defaultRowHeight="13.5"/>
  <cols>
    <col min="1" max="2" width="15.625" customWidth="1"/>
    <col min="3" max="3" width="10.625" style="11" customWidth="1"/>
    <col min="4" max="5" width="15.625" customWidth="1"/>
    <col min="6" max="6" width="9" hidden="1" customWidth="1"/>
    <col min="7" max="7" width="11.75" hidden="1" customWidth="1"/>
    <col min="8" max="8" width="20.625" customWidth="1"/>
    <col min="9" max="9" width="9" customWidth="1"/>
  </cols>
  <sheetData>
    <row r="1" spans="1:8" ht="20.100000000000001" customHeight="1" thickBot="1">
      <c r="A1" s="117" t="s">
        <v>84</v>
      </c>
      <c r="B1" s="65" t="s">
        <v>83</v>
      </c>
      <c r="D1" s="179" t="s">
        <v>114</v>
      </c>
      <c r="E1" s="179"/>
    </row>
    <row r="2" spans="1:8">
      <c r="A2" s="84" t="s">
        <v>45</v>
      </c>
      <c r="B2" s="85">
        <v>2</v>
      </c>
      <c r="C2" s="86" t="s">
        <v>46</v>
      </c>
      <c r="F2" s="20">
        <f>VLOOKUP(B2,表!E23:F25,2,0)</f>
        <v>5</v>
      </c>
    </row>
    <row r="3" spans="1:8">
      <c r="A3" s="87" t="s">
        <v>47</v>
      </c>
      <c r="B3" s="60">
        <v>0.4</v>
      </c>
      <c r="C3" s="88" t="s">
        <v>48</v>
      </c>
      <c r="H3" s="10"/>
    </row>
    <row r="4" spans="1:8" ht="14.25" thickBot="1">
      <c r="A4" s="89" t="s">
        <v>43</v>
      </c>
      <c r="B4" s="90">
        <v>8</v>
      </c>
      <c r="C4" s="91" t="s">
        <v>41</v>
      </c>
      <c r="H4" s="10"/>
    </row>
    <row r="5" spans="1:8" ht="5.0999999999999996" customHeight="1">
      <c r="A5" s="2"/>
      <c r="B5" s="62"/>
      <c r="C5" s="2"/>
      <c r="H5" s="10"/>
    </row>
    <row r="6" spans="1:8">
      <c r="A6" s="25" t="s">
        <v>44</v>
      </c>
      <c r="B6" s="61">
        <f>IFERROR(VLOOKUP(B4,表!B3:C32,2,FALSE),"")</f>
        <v>3</v>
      </c>
      <c r="C6" s="26" t="s">
        <v>42</v>
      </c>
      <c r="H6" s="10"/>
    </row>
    <row r="7" spans="1:8">
      <c r="A7" s="25" t="s">
        <v>66</v>
      </c>
      <c r="B7" s="61">
        <f>IFERROR((VLOOKUP(B6,表!E2:G15,3,FALSE)),"")</f>
        <v>20</v>
      </c>
      <c r="C7" s="26" t="s">
        <v>56</v>
      </c>
      <c r="H7" s="10"/>
    </row>
    <row r="8" spans="1:8" ht="5.0999999999999996" customHeight="1" thickBot="1">
      <c r="A8" s="111"/>
      <c r="B8" s="115"/>
      <c r="C8" s="116"/>
      <c r="H8" s="10"/>
    </row>
    <row r="9" spans="1:8" ht="14.25" thickBot="1">
      <c r="A9" s="84" t="s">
        <v>67</v>
      </c>
      <c r="B9" s="114">
        <v>20</v>
      </c>
      <c r="C9" s="109" t="s">
        <v>40</v>
      </c>
      <c r="H9" s="10"/>
    </row>
    <row r="10" spans="1:8">
      <c r="A10" s="112" t="s">
        <v>65</v>
      </c>
      <c r="B10" s="106" t="s">
        <v>37</v>
      </c>
      <c r="C10" s="2"/>
      <c r="D10" s="2"/>
      <c r="E10" s="2"/>
      <c r="F10" s="20">
        <f>VLOOKUP(B10,'直管換算表（参考）'!$B$34:$D$36,2,0)</f>
        <v>5</v>
      </c>
      <c r="H10" s="10"/>
    </row>
    <row r="11" spans="1:8" ht="14.25" thickBot="1">
      <c r="A11" s="113" t="s">
        <v>53</v>
      </c>
      <c r="B11" s="105" t="s">
        <v>54</v>
      </c>
      <c r="C11" s="2"/>
      <c r="D11" s="2"/>
      <c r="E11" s="2"/>
      <c r="F11" s="20">
        <f>IF(B11="有",1,0)</f>
        <v>1</v>
      </c>
      <c r="H11" s="10"/>
    </row>
    <row r="12" spans="1:8" ht="5.0999999999999996" customHeight="1" thickBot="1">
      <c r="B12" s="11"/>
      <c r="C12"/>
      <c r="H12" s="10"/>
    </row>
    <row r="13" spans="1:8" ht="40.5" customHeight="1">
      <c r="A13" s="73" t="s">
        <v>68</v>
      </c>
      <c r="B13" s="74">
        <v>39.799999999999997</v>
      </c>
      <c r="C13" s="75" t="s">
        <v>3</v>
      </c>
      <c r="D13" s="68" t="s">
        <v>1</v>
      </c>
      <c r="E13" s="16" t="s">
        <v>82</v>
      </c>
      <c r="F13" s="32" t="s">
        <v>73</v>
      </c>
      <c r="G13" s="17" t="s">
        <v>0</v>
      </c>
      <c r="H13" s="58"/>
    </row>
    <row r="14" spans="1:8">
      <c r="A14" s="76">
        <v>13</v>
      </c>
      <c r="B14" s="59">
        <v>7</v>
      </c>
      <c r="C14" s="77" t="s">
        <v>3</v>
      </c>
      <c r="D14" s="71"/>
      <c r="E14" s="30"/>
      <c r="H14" s="10"/>
    </row>
    <row r="15" spans="1:8">
      <c r="A15" s="78" t="s">
        <v>58</v>
      </c>
      <c r="B15" s="42">
        <v>7</v>
      </c>
      <c r="C15" s="79" t="s">
        <v>3</v>
      </c>
      <c r="D15" s="55">
        <f>IF(ISBLANK(B15),"",IFERROR(((0.0126+(0.01739-0.1087*(F15/1000))/SQRT(E15))*B15/(F15/1000)*E15^2/(2*9.8)),"　"))</f>
        <v>1.5977572290431019</v>
      </c>
      <c r="E15" s="49">
        <f>IF(ISBLANK(B15),"",IFERROR((G15/1000/60)/((F15/1000)^2*PI()/4),"  "))</f>
        <v>1.5067923606333291</v>
      </c>
      <c r="F15" s="33">
        <f>$A$14</f>
        <v>13</v>
      </c>
      <c r="G15" s="20">
        <f>表!$F3</f>
        <v>12</v>
      </c>
      <c r="H15" s="10"/>
    </row>
    <row r="16" spans="1:8">
      <c r="A16" s="78" t="s">
        <v>59</v>
      </c>
      <c r="B16" s="42"/>
      <c r="C16" s="79" t="s">
        <v>3</v>
      </c>
      <c r="D16" s="55" t="str">
        <f>IF(ISBLANK(B16),"",IFERROR(((0.0126+(0.01739-0.1087*(F16/1000))/SQRT(E16))*B16/(F16/1000)*E16^2/(2*9.8)),"　"))</f>
        <v/>
      </c>
      <c r="E16" s="49" t="str">
        <f>IF(ISBLANK(B16),"",IFERROR((G16/1000/60)/((F16/1000)^2*PI()/4),"  "))</f>
        <v/>
      </c>
      <c r="F16" s="33">
        <f>$A$14</f>
        <v>13</v>
      </c>
      <c r="G16" s="20">
        <f>表!$F4</f>
        <v>24</v>
      </c>
      <c r="H16" s="10"/>
    </row>
    <row r="17" spans="1:8">
      <c r="A17" s="80" t="s">
        <v>60</v>
      </c>
      <c r="B17" s="43"/>
      <c r="C17" s="81" t="s">
        <v>3</v>
      </c>
      <c r="D17" s="72" t="str">
        <f>IF(ISBLANK(B17),"",IFERROR(((0.0126+(0.01739-0.1087*(F17/1000))/SQRT(E17))*B17/(F17/1000)*E17^2/(2*9.8)),"　"))</f>
        <v/>
      </c>
      <c r="E17" s="50" t="str">
        <f>IF(ISBLANK(B17),"",IFERROR((G17/1000/60)/((F17/1000)^2*PI()/4),"  "))</f>
        <v/>
      </c>
      <c r="F17" s="33">
        <f>$A$14</f>
        <v>13</v>
      </c>
      <c r="G17" s="20">
        <f>表!$F5</f>
        <v>36</v>
      </c>
      <c r="H17" s="10"/>
    </row>
    <row r="18" spans="1:8">
      <c r="A18" s="76">
        <v>16</v>
      </c>
      <c r="B18" s="44"/>
      <c r="C18" s="77" t="s">
        <v>3</v>
      </c>
      <c r="D18" s="54"/>
      <c r="E18" s="31"/>
      <c r="F18" s="34"/>
      <c r="H18" s="10"/>
    </row>
    <row r="19" spans="1:8">
      <c r="A19" s="78" t="s">
        <v>58</v>
      </c>
      <c r="B19" s="42"/>
      <c r="C19" s="79" t="s">
        <v>3</v>
      </c>
      <c r="D19" s="55" t="str">
        <f>IF(ISBLANK(B19),"",IFERROR(((0.0126+(0.01739-0.1087*(F19/1000))/SQRT(E19))*B19/(F19/1000)*E19^2/(2*9.8)),"　"))</f>
        <v/>
      </c>
      <c r="E19" s="49" t="str">
        <f>IF(ISBLANK(B19),"",IFERROR((G19/1000/60)/((F19/1000)^2*PI()/4),"  "))</f>
        <v/>
      </c>
      <c r="F19" s="33">
        <f>$A$18</f>
        <v>16</v>
      </c>
      <c r="G19" s="20">
        <f>表!$F3</f>
        <v>12</v>
      </c>
      <c r="H19" s="10"/>
    </row>
    <row r="20" spans="1:8">
      <c r="A20" s="78" t="s">
        <v>59</v>
      </c>
      <c r="B20" s="42"/>
      <c r="C20" s="79" t="s">
        <v>3</v>
      </c>
      <c r="D20" s="55" t="str">
        <f>IF(ISBLANK(B20),"",IFERROR(((0.0126+(0.01739-0.1087*(F20/1000))/SQRT(E20))*B20/(F20/1000)*E20^2/(2*9.8)),"　"))</f>
        <v/>
      </c>
      <c r="E20" s="49" t="str">
        <f>IF(ISBLANK(B20),"",IFERROR((G20/1000/60)/((F20/1000)^2*PI()/4),"  "))</f>
        <v/>
      </c>
      <c r="F20" s="33">
        <f>$A$18</f>
        <v>16</v>
      </c>
      <c r="G20" s="20">
        <f>表!$F4</f>
        <v>24</v>
      </c>
      <c r="H20" s="10"/>
    </row>
    <row r="21" spans="1:8">
      <c r="A21" s="80" t="s">
        <v>60</v>
      </c>
      <c r="B21" s="43"/>
      <c r="C21" s="81" t="s">
        <v>3</v>
      </c>
      <c r="D21" s="72" t="str">
        <f>IF(ISBLANK(B21),"",IFERROR(((0.0126+(0.01739-0.1087*(F21/1000))/SQRT(E21))*B21/(F21/1000)*E21^2/(2*9.8)),"　"))</f>
        <v/>
      </c>
      <c r="E21" s="50" t="str">
        <f>IF(ISBLANK(B21),"",IFERROR((G21/1000/60)/((F21/1000)^2*PI()/4),"  "))</f>
        <v/>
      </c>
      <c r="F21" s="33">
        <f>$A$18</f>
        <v>16</v>
      </c>
      <c r="G21" s="20">
        <f>表!$F5</f>
        <v>36</v>
      </c>
      <c r="H21" s="10"/>
    </row>
    <row r="22" spans="1:8">
      <c r="A22" s="76">
        <v>20</v>
      </c>
      <c r="B22" s="59">
        <f>2.5+1+8+7.2+0.7+10.5+2.9</f>
        <v>32.799999999999997</v>
      </c>
      <c r="C22" s="77" t="s">
        <v>3</v>
      </c>
      <c r="D22" s="54"/>
      <c r="E22" s="31"/>
      <c r="F22" s="34"/>
      <c r="H22" s="10"/>
    </row>
    <row r="23" spans="1:8">
      <c r="A23" s="78" t="s">
        <v>58</v>
      </c>
      <c r="B23" s="42"/>
      <c r="C23" s="79" t="s">
        <v>3</v>
      </c>
      <c r="D23" s="55" t="str">
        <f>IF(ISBLANK(B23),"",IFERROR(((0.0126+(0.01739-0.1087*(F23/1000))/SQRT(E23))*B23/(F23/1000)*E23^2/(2*9.8)),"　"))</f>
        <v/>
      </c>
      <c r="E23" s="49" t="str">
        <f>IF(ISBLANK(B23),"",IFERROR((G23/1000/60)/((F23/1000)^2*PI()/4),"  "))</f>
        <v/>
      </c>
      <c r="F23" s="33">
        <f>$A$22</f>
        <v>20</v>
      </c>
      <c r="G23" s="20">
        <f>表!$F3</f>
        <v>12</v>
      </c>
      <c r="H23" s="10"/>
    </row>
    <row r="24" spans="1:8">
      <c r="A24" s="78" t="s">
        <v>59</v>
      </c>
      <c r="B24" s="42"/>
      <c r="C24" s="79" t="s">
        <v>3</v>
      </c>
      <c r="D24" s="55" t="str">
        <f>IF(ISBLANK(B24),"",IFERROR(((0.0126+(0.01739-0.1087*(F24/1000))/SQRT(E24))*B24/(F24/1000)*E24^2/(2*9.8)),"　"))</f>
        <v/>
      </c>
      <c r="E24" s="49" t="str">
        <f>IF(ISBLANK(B24),"",IFERROR((G24/1000/60)/((F24/1000)^2*PI()/4),"  "))</f>
        <v/>
      </c>
      <c r="F24" s="33">
        <f>$A$22</f>
        <v>20</v>
      </c>
      <c r="G24" s="20">
        <f>表!$F4</f>
        <v>24</v>
      </c>
      <c r="H24" s="10"/>
    </row>
    <row r="25" spans="1:8">
      <c r="A25" s="80" t="s">
        <v>60</v>
      </c>
      <c r="B25" s="43">
        <v>32.799999999999997</v>
      </c>
      <c r="C25" s="81" t="s">
        <v>3</v>
      </c>
      <c r="D25" s="72">
        <f>IF(ISBLANK(B25),"",IFERROR(((0.0126+(0.01739-0.1087*(F25/1000))/SQRT(E25))*B25/(F25/1000)*E25^2/(2*9.8)),"　"))</f>
        <v>7.2059682532839009</v>
      </c>
      <c r="E25" s="50">
        <f>IF(ISBLANK(B25),"",IFERROR((G25/1000/60)/((F25/1000)^2*PI()/4),"  "))</f>
        <v>1.909859317102744</v>
      </c>
      <c r="F25" s="33">
        <f>$A$22</f>
        <v>20</v>
      </c>
      <c r="G25" s="20">
        <f>表!$F5</f>
        <v>36</v>
      </c>
      <c r="H25" s="10"/>
    </row>
    <row r="26" spans="1:8">
      <c r="A26" s="76">
        <v>25</v>
      </c>
      <c r="B26" s="126"/>
      <c r="C26" s="77" t="s">
        <v>3</v>
      </c>
      <c r="D26" s="54"/>
      <c r="E26" s="31"/>
      <c r="F26" s="34"/>
      <c r="H26" s="10"/>
    </row>
    <row r="27" spans="1:8">
      <c r="A27" s="78" t="s">
        <v>58</v>
      </c>
      <c r="B27" s="122"/>
      <c r="C27" s="79" t="s">
        <v>3</v>
      </c>
      <c r="D27" s="55" t="str">
        <f>IF(ISBLANK(B27),"",IFERROR(((0.0126+(0.01739-0.1087*(F27/1000))/SQRT(E27))*B27/(F27/1000)*E27^2/(2*9.8)),"　"))</f>
        <v/>
      </c>
      <c r="E27" s="49" t="str">
        <f>IF(ISBLANK(B27),"",IFERROR((G27/1000/60)/((F27/1000)^2*PI()/4),"  "))</f>
        <v/>
      </c>
      <c r="F27" s="33">
        <f>$A$26</f>
        <v>25</v>
      </c>
      <c r="G27" s="20">
        <f>表!$F3</f>
        <v>12</v>
      </c>
      <c r="H27" s="10"/>
    </row>
    <row r="28" spans="1:8">
      <c r="A28" s="78" t="s">
        <v>59</v>
      </c>
      <c r="B28" s="122"/>
      <c r="C28" s="79" t="s">
        <v>3</v>
      </c>
      <c r="D28" s="55" t="str">
        <f>IF(ISBLANK(B28),"",IFERROR(((0.0126+(0.01739-0.1087*(F28/1000))/SQRT(E28))*B28/(F28/1000)*E28^2/(2*9.8)),"　"))</f>
        <v/>
      </c>
      <c r="E28" s="49" t="str">
        <f>IF(ISBLANK(B28),"",IFERROR((G28/1000/60)/((F28/1000)^2*PI()/4),"  "))</f>
        <v/>
      </c>
      <c r="F28" s="33">
        <f>$A$26</f>
        <v>25</v>
      </c>
      <c r="G28" s="20">
        <f>表!$F4</f>
        <v>24</v>
      </c>
      <c r="H28" s="10"/>
    </row>
    <row r="29" spans="1:8">
      <c r="A29" s="80" t="s">
        <v>60</v>
      </c>
      <c r="B29" s="123"/>
      <c r="C29" s="81" t="s">
        <v>3</v>
      </c>
      <c r="D29" s="72" t="str">
        <f>IF(ISBLANK(B29),"",IFERROR(((0.0126+(0.01739-0.1087*(F29/1000))/SQRT(E29))*B29/(F29/1000)*E29^2/(2*9.8)),"　"))</f>
        <v/>
      </c>
      <c r="E29" s="50" t="str">
        <f>IF(ISBLANK(B29),"",IFERROR((G29/1000/60)/((F29/1000)^2*PI()/4),"  "))</f>
        <v/>
      </c>
      <c r="F29" s="33">
        <f>$A$26</f>
        <v>25</v>
      </c>
      <c r="G29" s="20">
        <f>表!$F5</f>
        <v>36</v>
      </c>
      <c r="H29" s="10"/>
    </row>
    <row r="30" spans="1:8" hidden="1">
      <c r="A30" s="80" t="s">
        <v>78</v>
      </c>
      <c r="B30" s="124"/>
      <c r="C30" s="81" t="s">
        <v>3</v>
      </c>
      <c r="D30" s="72" t="str">
        <f>IF(ISBLANK(B30),"",IFERROR(((0.0126+(0.01739-0.1087*(F30/1000))/SQRT(E30))*B30/(F30/1000)*E30^2/(2*9.8)),"　"))</f>
        <v/>
      </c>
      <c r="E30" s="50" t="str">
        <f>IF(ISBLANK(B30),"",IFERROR((G30/1000/60)/((F30/1000)^2*PI()/4),"  "))</f>
        <v/>
      </c>
      <c r="F30" s="33">
        <f>$A$26</f>
        <v>25</v>
      </c>
      <c r="G30" s="20">
        <f>表!$F6</f>
        <v>48</v>
      </c>
      <c r="H30" s="10"/>
    </row>
    <row r="31" spans="1:8">
      <c r="A31" s="76">
        <v>30</v>
      </c>
      <c r="B31" s="126"/>
      <c r="C31" s="77" t="s">
        <v>3</v>
      </c>
      <c r="D31" s="54"/>
      <c r="E31" s="31"/>
      <c r="F31" s="34"/>
      <c r="H31" s="10"/>
    </row>
    <row r="32" spans="1:8">
      <c r="A32" s="78" t="s">
        <v>58</v>
      </c>
      <c r="B32" s="122"/>
      <c r="C32" s="79" t="s">
        <v>3</v>
      </c>
      <c r="D32" s="55" t="str">
        <f t="shared" ref="D32:D38" si="0">IF(ISBLANK(B32),"",IFERROR(((0.0126+(0.01739-0.1087*(F32/1000))/SQRT(E32))*B32/(F32/1000)*E32^2/(2*9.8)),"　"))</f>
        <v/>
      </c>
      <c r="E32" s="49" t="str">
        <f>IF(ISBLANK(B32),"",IFERROR((G32/1000/60)/((F32/1000)^2*PI()/4),"  "))</f>
        <v/>
      </c>
      <c r="F32" s="33">
        <f t="shared" ref="F32:F38" si="1">$A$31</f>
        <v>30</v>
      </c>
      <c r="G32" s="20">
        <f>表!$F3</f>
        <v>12</v>
      </c>
      <c r="H32" s="10"/>
    </row>
    <row r="33" spans="1:8">
      <c r="A33" s="78" t="s">
        <v>59</v>
      </c>
      <c r="B33" s="122"/>
      <c r="C33" s="79" t="s">
        <v>3</v>
      </c>
      <c r="D33" s="55" t="str">
        <f t="shared" si="0"/>
        <v/>
      </c>
      <c r="E33" s="49" t="str">
        <f t="shared" ref="E33:E38" si="2">IF(ISBLANK(B33),"",IFERROR((G33/1000/60)/((F33/1000)^2*PI()/4),"  "))</f>
        <v/>
      </c>
      <c r="F33" s="33">
        <f t="shared" si="1"/>
        <v>30</v>
      </c>
      <c r="G33" s="20">
        <f>表!$F4</f>
        <v>24</v>
      </c>
      <c r="H33" s="10"/>
    </row>
    <row r="34" spans="1:8" ht="14.25" thickBot="1">
      <c r="A34" s="82" t="s">
        <v>60</v>
      </c>
      <c r="B34" s="125"/>
      <c r="C34" s="83" t="s">
        <v>3</v>
      </c>
      <c r="D34" s="72" t="str">
        <f t="shared" si="0"/>
        <v/>
      </c>
      <c r="E34" s="50" t="str">
        <f t="shared" si="2"/>
        <v/>
      </c>
      <c r="F34" s="33">
        <f t="shared" si="1"/>
        <v>30</v>
      </c>
      <c r="G34" s="20">
        <f>表!$F5</f>
        <v>36</v>
      </c>
      <c r="H34" s="10"/>
    </row>
    <row r="35" spans="1:8" hidden="1">
      <c r="A35" s="37" t="s">
        <v>78</v>
      </c>
      <c r="B35" s="45"/>
      <c r="C35" s="35" t="s">
        <v>3</v>
      </c>
      <c r="D35" s="51" t="str">
        <f t="shared" si="0"/>
        <v/>
      </c>
      <c r="E35" s="52" t="str">
        <f t="shared" si="2"/>
        <v/>
      </c>
      <c r="F35" s="33">
        <f t="shared" si="1"/>
        <v>30</v>
      </c>
      <c r="G35" s="20">
        <f>表!$F6</f>
        <v>48</v>
      </c>
      <c r="H35" s="10"/>
    </row>
    <row r="36" spans="1:8" hidden="1">
      <c r="A36" s="12" t="s">
        <v>79</v>
      </c>
      <c r="B36" s="46"/>
      <c r="C36" s="13" t="s">
        <v>3</v>
      </c>
      <c r="D36" s="48" t="str">
        <f t="shared" si="0"/>
        <v/>
      </c>
      <c r="E36" s="49" t="str">
        <f t="shared" si="2"/>
        <v/>
      </c>
      <c r="F36" s="33">
        <f t="shared" si="1"/>
        <v>30</v>
      </c>
      <c r="G36" s="20">
        <f>表!$F7</f>
        <v>60</v>
      </c>
      <c r="H36" s="10"/>
    </row>
    <row r="37" spans="1:8" hidden="1">
      <c r="A37" s="12" t="s">
        <v>80</v>
      </c>
      <c r="B37" s="46"/>
      <c r="C37" s="13" t="s">
        <v>3</v>
      </c>
      <c r="D37" s="48" t="str">
        <f t="shared" si="0"/>
        <v/>
      </c>
      <c r="E37" s="49" t="str">
        <f t="shared" si="2"/>
        <v/>
      </c>
      <c r="F37" s="33">
        <f t="shared" si="1"/>
        <v>30</v>
      </c>
      <c r="G37" s="20">
        <f>表!$F8</f>
        <v>72</v>
      </c>
      <c r="H37" s="10"/>
    </row>
    <row r="38" spans="1:8" ht="14.25" hidden="1" thickBot="1">
      <c r="A38" s="14" t="s">
        <v>81</v>
      </c>
      <c r="B38" s="43"/>
      <c r="C38" s="15" t="s">
        <v>3</v>
      </c>
      <c r="D38" s="53" t="str">
        <f t="shared" si="0"/>
        <v/>
      </c>
      <c r="E38" s="50" t="str">
        <f t="shared" si="2"/>
        <v/>
      </c>
      <c r="F38" s="33">
        <f t="shared" si="1"/>
        <v>30</v>
      </c>
      <c r="G38" s="20">
        <f>表!$F9</f>
        <v>84</v>
      </c>
      <c r="H38" s="10"/>
    </row>
    <row r="39" spans="1:8" ht="15" thickTop="1" thickBot="1">
      <c r="A39" s="2"/>
      <c r="B39" s="18"/>
      <c r="C39" s="2"/>
      <c r="D39" s="47">
        <f>SUM(D14:D38)</f>
        <v>8.8037254823270032</v>
      </c>
      <c r="E39" s="41"/>
      <c r="F39" s="2"/>
      <c r="G39" s="2"/>
      <c r="H39" s="3"/>
    </row>
    <row r="40" spans="1:8" ht="5.0999999999999996" customHeight="1" thickTop="1" thickBot="1">
      <c r="B40" s="11"/>
      <c r="C40"/>
      <c r="D40" s="29"/>
      <c r="E40" s="2"/>
      <c r="H40" s="10"/>
    </row>
    <row r="41" spans="1:8" ht="40.5" customHeight="1">
      <c r="A41" s="93" t="s">
        <v>63</v>
      </c>
      <c r="B41" s="94" t="s">
        <v>85</v>
      </c>
      <c r="C41" s="95" t="s">
        <v>62</v>
      </c>
      <c r="D41" s="92" t="s">
        <v>1</v>
      </c>
      <c r="E41" s="16" t="s">
        <v>82</v>
      </c>
      <c r="F41" s="21" t="s">
        <v>57</v>
      </c>
      <c r="G41" s="17" t="s">
        <v>52</v>
      </c>
      <c r="H41" s="58"/>
    </row>
    <row r="42" spans="1:8">
      <c r="A42" s="96" t="s">
        <v>16</v>
      </c>
      <c r="B42" s="22">
        <v>13</v>
      </c>
      <c r="C42" s="97">
        <v>1</v>
      </c>
      <c r="D42" s="54">
        <f t="shared" ref="D42:D56" si="3">IFERROR(((0.0126+(0.01739-0.1087*(B42/1000))/SQRT(E42))*F42/(B42/1000)*E42^2/(2*9.8)),"　")</f>
        <v>0.68475309816132945</v>
      </c>
      <c r="E42" s="52">
        <f t="shared" ref="E42:E56" si="4">IFERROR((G42/1000/60)/((B42/1000)^2*PI()/4),"  ")</f>
        <v>1.5067923606333291</v>
      </c>
      <c r="F42" s="20">
        <f>INDEX('直管換算表（参考）'!$C$5:$I$26,MATCH(A42,'直管換算表（参考）'!$B$5:$B$26,0),MATCH(B42,'直管換算表（参考）'!$C$4:$I$4,0))</f>
        <v>3</v>
      </c>
      <c r="G42" s="20">
        <f>VLOOKUP(C42,表!$E$2:$G$15,2,0)</f>
        <v>12</v>
      </c>
      <c r="H42" s="10"/>
    </row>
    <row r="43" spans="1:8">
      <c r="A43" s="118" t="s">
        <v>17</v>
      </c>
      <c r="B43" s="119">
        <v>13</v>
      </c>
      <c r="C43" s="120">
        <v>1</v>
      </c>
      <c r="D43" s="55">
        <f>IFERROR(((0.0126+(0.01739-0.1087*(B43/1000))/SQRT(E43))*F43/(B43/1000)*E43^2/(2*9.8)),"　")</f>
        <v>0.5478024785290635</v>
      </c>
      <c r="E43" s="49">
        <f t="shared" si="4"/>
        <v>1.5067923606333291</v>
      </c>
      <c r="F43" s="20">
        <f>INDEX('直管換算表（参考）'!$C$5:$I$26,MATCH(A43,'直管換算表（参考）'!$B$5:$B$26,0),MATCH(B43,'直管換算表（参考）'!$C$4:$I$4,0))</f>
        <v>2.4</v>
      </c>
      <c r="G43" s="20">
        <f>VLOOKUP(C43,表!$E$2:$G$15,2,0)</f>
        <v>12</v>
      </c>
      <c r="H43" s="10"/>
    </row>
    <row r="44" spans="1:8">
      <c r="A44" s="98" t="s">
        <v>10</v>
      </c>
      <c r="B44" s="23">
        <v>13</v>
      </c>
      <c r="C44" s="99">
        <v>1</v>
      </c>
      <c r="D44" s="55">
        <f t="shared" si="3"/>
        <v>0.11412551636022158</v>
      </c>
      <c r="E44" s="49">
        <f t="shared" si="4"/>
        <v>1.5067923606333291</v>
      </c>
      <c r="F44" s="20">
        <f>INDEX('直管換算表（参考）'!$C$5:$I$26,MATCH(A44,'直管換算表（参考）'!$B$5:$B$26,0),MATCH(B44,'直管換算表（参考）'!$C$4:$I$4,0))</f>
        <v>0.5</v>
      </c>
      <c r="G44" s="20">
        <f>VLOOKUP(C44,表!$E$2:$G$15,2,0)</f>
        <v>12</v>
      </c>
      <c r="H44" s="10"/>
    </row>
    <row r="45" spans="1:8">
      <c r="A45" s="98" t="s">
        <v>10</v>
      </c>
      <c r="B45" s="23">
        <v>20</v>
      </c>
      <c r="C45" s="99">
        <v>3</v>
      </c>
      <c r="D45" s="55">
        <f t="shared" si="3"/>
        <v>0.1098470770317668</v>
      </c>
      <c r="E45" s="49">
        <f t="shared" si="4"/>
        <v>1.909859317102744</v>
      </c>
      <c r="F45" s="20">
        <f>INDEX('直管換算表（参考）'!$C$5:$I$26,MATCH(A45,'直管換算表（参考）'!$B$5:$B$26,0),MATCH(B45,'直管換算表（参考）'!$C$4:$I$4,0))</f>
        <v>0.5</v>
      </c>
      <c r="G45" s="20">
        <f>VLOOKUP(C45,表!$E$2:$G$15,2,0)</f>
        <v>36</v>
      </c>
      <c r="H45" s="10"/>
    </row>
    <row r="46" spans="1:8">
      <c r="A46" s="98" t="s">
        <v>10</v>
      </c>
      <c r="B46" s="23">
        <v>20</v>
      </c>
      <c r="C46" s="99">
        <v>3</v>
      </c>
      <c r="D46" s="55">
        <f t="shared" si="3"/>
        <v>0.1098470770317668</v>
      </c>
      <c r="E46" s="49">
        <f t="shared" si="4"/>
        <v>1.909859317102744</v>
      </c>
      <c r="F46" s="20">
        <f>INDEX('直管換算表（参考）'!$C$5:$I$26,MATCH(A46,'直管換算表（参考）'!$B$5:$B$26,0),MATCH(B46,'直管換算表（参考）'!$C$4:$I$4,0))</f>
        <v>0.5</v>
      </c>
      <c r="G46" s="20">
        <f>VLOOKUP(C46,表!$E$2:$G$15,2,0)</f>
        <v>36</v>
      </c>
      <c r="H46" s="10"/>
    </row>
    <row r="47" spans="1:8">
      <c r="A47" s="98" t="s">
        <v>10</v>
      </c>
      <c r="B47" s="23">
        <v>20</v>
      </c>
      <c r="C47" s="99">
        <v>3</v>
      </c>
      <c r="D47" s="55">
        <f t="shared" si="3"/>
        <v>0.1098470770317668</v>
      </c>
      <c r="E47" s="49">
        <f t="shared" si="4"/>
        <v>1.909859317102744</v>
      </c>
      <c r="F47" s="20">
        <f>INDEX('直管換算表（参考）'!$C$5:$I$26,MATCH(A47,'直管換算表（参考）'!$B$5:$B$26,0),MATCH(B47,'直管換算表（参考）'!$C$4:$I$4,0))</f>
        <v>0.5</v>
      </c>
      <c r="G47" s="20">
        <f>VLOOKUP(C47,表!$E$2:$G$15,2,0)</f>
        <v>36</v>
      </c>
      <c r="H47" s="10"/>
    </row>
    <row r="48" spans="1:8" ht="27">
      <c r="A48" s="98" t="s">
        <v>11</v>
      </c>
      <c r="B48" s="23">
        <v>20</v>
      </c>
      <c r="C48" s="99">
        <v>3</v>
      </c>
      <c r="D48" s="55">
        <f t="shared" si="3"/>
        <v>0.1098470770317668</v>
      </c>
      <c r="E48" s="49">
        <f t="shared" si="4"/>
        <v>1.909859317102744</v>
      </c>
      <c r="F48" s="20">
        <f>INDEX('直管換算表（参考）'!$C$5:$I$26,MATCH(A48,'直管換算表（参考）'!$B$5:$B$26,0),MATCH(B48,'直管換算表（参考）'!$C$4:$I$4,0))</f>
        <v>0.5</v>
      </c>
      <c r="G48" s="20">
        <f>VLOOKUP(C48,表!$E$2:$G$15,2,0)</f>
        <v>36</v>
      </c>
      <c r="H48" s="10"/>
    </row>
    <row r="49" spans="1:8">
      <c r="A49" s="98" t="s">
        <v>10</v>
      </c>
      <c r="B49" s="23">
        <v>20</v>
      </c>
      <c r="C49" s="99">
        <v>3</v>
      </c>
      <c r="D49" s="55">
        <f t="shared" si="3"/>
        <v>0.1098470770317668</v>
      </c>
      <c r="E49" s="49">
        <f t="shared" si="4"/>
        <v>1.909859317102744</v>
      </c>
      <c r="F49" s="20">
        <f>INDEX('直管換算表（参考）'!$C$5:$I$26,MATCH(A49,'直管換算表（参考）'!$B$5:$B$26,0),MATCH(B49,'直管換算表（参考）'!$C$4:$I$4,0))</f>
        <v>0.5</v>
      </c>
      <c r="G49" s="20">
        <f>VLOOKUP(C49,表!$E$2:$G$15,2,0)</f>
        <v>36</v>
      </c>
      <c r="H49" s="10"/>
    </row>
    <row r="50" spans="1:8">
      <c r="A50" s="98" t="s">
        <v>13</v>
      </c>
      <c r="B50" s="23">
        <v>20</v>
      </c>
      <c r="C50" s="99">
        <v>3</v>
      </c>
      <c r="D50" s="55">
        <f t="shared" si="3"/>
        <v>0.24166356946988696</v>
      </c>
      <c r="E50" s="49">
        <f t="shared" si="4"/>
        <v>1.909859317102744</v>
      </c>
      <c r="F50" s="20">
        <f>INDEX('直管換算表（参考）'!$C$5:$I$26,MATCH(A50,'直管換算表（参考）'!$B$5:$B$26,0),MATCH(B50,'直管換算表（参考）'!$C$4:$I$4,0))</f>
        <v>1.1000000000000001</v>
      </c>
      <c r="G50" s="20">
        <f>VLOOKUP(C50,表!$E$2:$G$15,2,0)</f>
        <v>36</v>
      </c>
      <c r="H50" s="10"/>
    </row>
    <row r="51" spans="1:8">
      <c r="A51" s="98" t="s">
        <v>13</v>
      </c>
      <c r="B51" s="23">
        <v>20</v>
      </c>
      <c r="C51" s="99">
        <v>3</v>
      </c>
      <c r="D51" s="55">
        <f t="shared" si="3"/>
        <v>0.24166356946988696</v>
      </c>
      <c r="E51" s="49">
        <f t="shared" si="4"/>
        <v>1.909859317102744</v>
      </c>
      <c r="F51" s="20">
        <f>INDEX('直管換算表（参考）'!$C$5:$I$26,MATCH(A51,'直管換算表（参考）'!$B$5:$B$26,0),MATCH(B51,'直管換算表（参考）'!$C$4:$I$4,0))</f>
        <v>1.1000000000000001</v>
      </c>
      <c r="G51" s="20">
        <f>VLOOKUP(C51,表!$E$2:$G$15,2,0)</f>
        <v>36</v>
      </c>
      <c r="H51" s="10"/>
    </row>
    <row r="52" spans="1:8">
      <c r="A52" s="98" t="s">
        <v>23</v>
      </c>
      <c r="B52" s="23">
        <v>20</v>
      </c>
      <c r="C52" s="99">
        <v>3</v>
      </c>
      <c r="D52" s="55">
        <f t="shared" si="3"/>
        <v>0.65908246219060085</v>
      </c>
      <c r="E52" s="49">
        <f t="shared" si="4"/>
        <v>1.909859317102744</v>
      </c>
      <c r="F52" s="20">
        <f>INDEX('直管換算表（参考）'!$C$5:$I$26,MATCH(A52,'直管換算表（参考）'!$B$5:$B$26,0),MATCH(B52,'直管換算表（参考）'!$C$4:$I$4,0))</f>
        <v>3</v>
      </c>
      <c r="G52" s="20">
        <f>VLOOKUP(C52,表!$E$2:$G$15,2,0)</f>
        <v>36</v>
      </c>
      <c r="H52" s="10"/>
    </row>
    <row r="53" spans="1:8" ht="27">
      <c r="A53" s="100" t="s">
        <v>5</v>
      </c>
      <c r="B53" s="36">
        <f>B9</f>
        <v>20</v>
      </c>
      <c r="C53" s="101">
        <f>B6</f>
        <v>3</v>
      </c>
      <c r="D53" s="55">
        <f t="shared" si="3"/>
        <v>1.9772473865718021</v>
      </c>
      <c r="E53" s="49">
        <f t="shared" si="4"/>
        <v>1.909859317102744</v>
      </c>
      <c r="F53" s="20">
        <f>INDEX('直管換算表（参考）'!$C$5:$I$26,MATCH(A53,'直管換算表（参考）'!$B$5:$B$26,0),MATCH(B53,'直管換算表（参考）'!$C$4:$I$4,0))</f>
        <v>9</v>
      </c>
      <c r="G53" s="20">
        <f>VLOOKUP(C53,表!$E$2:$G$15,2,0)</f>
        <v>36</v>
      </c>
      <c r="H53" s="10"/>
    </row>
    <row r="54" spans="1:8">
      <c r="A54" s="100" t="s">
        <v>26</v>
      </c>
      <c r="B54" s="23">
        <v>20</v>
      </c>
      <c r="C54" s="101">
        <f>B6</f>
        <v>3</v>
      </c>
      <c r="D54" s="55">
        <f t="shared" si="3"/>
        <v>0.4393883081270672</v>
      </c>
      <c r="E54" s="49">
        <f t="shared" si="4"/>
        <v>1.909859317102744</v>
      </c>
      <c r="F54" s="20">
        <f>INDEX('直管換算表（参考）'!$C$5:$I$26,MATCH(A54,'直管換算表（参考）'!$B$5:$B$26,0),MATCH(B54,'直管換算表（参考）'!$C$4:$I$4,0))</f>
        <v>2</v>
      </c>
      <c r="G54" s="20">
        <f>VLOOKUP(C54,表!$E$2:$G$15,2,0)</f>
        <v>36</v>
      </c>
      <c r="H54" s="10"/>
    </row>
    <row r="55" spans="1:8">
      <c r="A55" s="100" t="s">
        <v>24</v>
      </c>
      <c r="B55" s="23">
        <v>20</v>
      </c>
      <c r="C55" s="101">
        <f>B6</f>
        <v>3</v>
      </c>
      <c r="D55" s="55">
        <f t="shared" si="3"/>
        <v>0.4393883081270672</v>
      </c>
      <c r="E55" s="49">
        <f t="shared" si="4"/>
        <v>1.909859317102744</v>
      </c>
      <c r="F55" s="20">
        <f>INDEX('直管換算表（参考）'!$C$5:$I$26,MATCH(A55,'直管換算表（参考）'!$B$5:$B$26,0),MATCH(B55,'直管換算表（参考）'!$C$4:$I$4,0))</f>
        <v>2</v>
      </c>
      <c r="G55" s="20">
        <f>VLOOKUP(C55,表!$E$2:$G$15,2,0)</f>
        <v>36</v>
      </c>
      <c r="H55" s="10"/>
    </row>
    <row r="56" spans="1:8" ht="14.25" thickBot="1">
      <c r="A56" s="102" t="s">
        <v>2</v>
      </c>
      <c r="B56" s="103">
        <v>20</v>
      </c>
      <c r="C56" s="104">
        <f>B6</f>
        <v>3</v>
      </c>
      <c r="D56" s="56">
        <f t="shared" si="3"/>
        <v>0.4393883081270672</v>
      </c>
      <c r="E56" s="50">
        <f t="shared" si="4"/>
        <v>1.909859317102744</v>
      </c>
      <c r="F56" s="20">
        <f>INDEX('直管換算表（参考）'!$C$5:$I$26,MATCH(A56,'直管換算表（参考）'!$B$5:$B$26,0),MATCH(B56,'直管換算表（参考）'!$C$4:$I$4,0))</f>
        <v>2</v>
      </c>
      <c r="G56" s="20">
        <f>VLOOKUP(C56,表!$E$2:$G$15,2,0)</f>
        <v>36</v>
      </c>
      <c r="H56" s="10"/>
    </row>
    <row r="57" spans="1:8" ht="15" thickTop="1" thickBot="1">
      <c r="B57" s="11"/>
      <c r="C57"/>
      <c r="D57" s="47">
        <f>SUM(D42:D56)</f>
        <v>6.3337383902928259</v>
      </c>
      <c r="E57" s="3"/>
      <c r="H57" s="10"/>
    </row>
    <row r="58" spans="1:8" ht="15" thickTop="1" thickBot="1">
      <c r="A58" s="24" t="s">
        <v>61</v>
      </c>
      <c r="B58" s="11"/>
      <c r="C58"/>
      <c r="D58" s="10"/>
      <c r="E58" s="10"/>
      <c r="H58" s="10"/>
    </row>
    <row r="59" spans="1:8" ht="15" thickTop="1" thickBot="1">
      <c r="A59" s="39" t="s">
        <v>49</v>
      </c>
      <c r="B59" s="63">
        <f>IFERROR(SUM(F2+D39+D57+F10+F11+B13*表!G19)*0.0098,"")</f>
        <v>0.25614714595167432</v>
      </c>
      <c r="C59" s="38" t="s">
        <v>48</v>
      </c>
      <c r="D59" s="183" t="str">
        <f>IF(B3&gt;B59,"OK","NG")</f>
        <v>OK</v>
      </c>
      <c r="E59" s="183"/>
      <c r="H59" s="10"/>
    </row>
    <row r="60" spans="1:8" ht="13.5" customHeight="1" thickTop="1" thickBot="1">
      <c r="A60" s="180" t="s">
        <v>50</v>
      </c>
      <c r="B60" s="188">
        <f>MAX(E14:E56)</f>
        <v>1.909859317102744</v>
      </c>
      <c r="C60" s="182" t="s">
        <v>51</v>
      </c>
      <c r="D60" s="184" t="str">
        <f>IF(B60&lt;=2,"2m/sec以内で問題なし","NG　　　　　　　　　　　　　　　　　　　　　　ウォータハンマの恐れあり")</f>
        <v>2m/sec以内で問題なし</v>
      </c>
      <c r="E60" s="185"/>
      <c r="H60" s="10"/>
    </row>
    <row r="61" spans="1:8" ht="15" thickTop="1" thickBot="1">
      <c r="A61" s="180"/>
      <c r="B61" s="188"/>
      <c r="C61" s="182"/>
      <c r="D61" s="186"/>
      <c r="E61" s="187"/>
      <c r="H61" s="10"/>
    </row>
    <row r="62" spans="1:8" ht="14.25" thickTop="1">
      <c r="H62" s="10"/>
    </row>
  </sheetData>
  <sheetProtection algorithmName="SHA-512" hashValue="MOOCgyUtDo0IDm9AtN1w8tYryu4arP961UeQUw2bic0dNUSjBkZ4U8Jrp2c+GfA/Ogh91f9K0Ua6rr2f9vPijA==" saltValue="tMwo4hpGKsGZhmEZ0i/WDQ==" spinCount="100000" sheet="1" objects="1" scenarios="1"/>
  <mergeCells count="6">
    <mergeCell ref="D1:E1"/>
    <mergeCell ref="D59:E59"/>
    <mergeCell ref="A60:A61"/>
    <mergeCell ref="B60:B61"/>
    <mergeCell ref="C60:C61"/>
    <mergeCell ref="D60:E61"/>
  </mergeCells>
  <phoneticPr fontId="1"/>
  <conditionalFormatting sqref="E14:E34">
    <cfRule type="cellIs" dxfId="239" priority="60" operator="greaterThan">
      <formula>2</formula>
    </cfRule>
  </conditionalFormatting>
  <conditionalFormatting sqref="B31:B38">
    <cfRule type="expression" dxfId="238" priority="59">
      <formula>$B$9&gt;=30</formula>
    </cfRule>
  </conditionalFormatting>
  <conditionalFormatting sqref="B26:B30">
    <cfRule type="expression" dxfId="237" priority="58">
      <formula>$B$9&gt;=25</formula>
    </cfRule>
  </conditionalFormatting>
  <conditionalFormatting sqref="B22:B25">
    <cfRule type="expression" dxfId="236" priority="57">
      <formula>$B$9&gt;=20</formula>
    </cfRule>
  </conditionalFormatting>
  <conditionalFormatting sqref="B18:B21">
    <cfRule type="expression" dxfId="235" priority="56">
      <formula>$B$9&gt;=20</formula>
    </cfRule>
  </conditionalFormatting>
  <conditionalFormatting sqref="B14:B17">
    <cfRule type="expression" dxfId="234" priority="55">
      <formula>$B$9&gt;=13</formula>
    </cfRule>
  </conditionalFormatting>
  <conditionalFormatting sqref="B17">
    <cfRule type="expression" dxfId="233" priority="54">
      <formula>$B$6&lt;3</formula>
    </cfRule>
  </conditionalFormatting>
  <conditionalFormatting sqref="B16">
    <cfRule type="expression" dxfId="232" priority="53">
      <formula>$B$6&lt;2</formula>
    </cfRule>
  </conditionalFormatting>
  <conditionalFormatting sqref="B21">
    <cfRule type="expression" dxfId="231" priority="52">
      <formula>$B$6&lt;3</formula>
    </cfRule>
  </conditionalFormatting>
  <conditionalFormatting sqref="B20">
    <cfRule type="expression" dxfId="230" priority="51">
      <formula>$B$6&lt;2</formula>
    </cfRule>
  </conditionalFormatting>
  <conditionalFormatting sqref="B25">
    <cfRule type="expression" dxfId="229" priority="50">
      <formula>$B$6&lt;3</formula>
    </cfRule>
  </conditionalFormatting>
  <conditionalFormatting sqref="B24">
    <cfRule type="expression" priority="49">
      <formula>$B$6&lt;2</formula>
    </cfRule>
  </conditionalFormatting>
  <conditionalFormatting sqref="B30">
    <cfRule type="expression" priority="48">
      <formula>$B$6&lt;4</formula>
    </cfRule>
  </conditionalFormatting>
  <conditionalFormatting sqref="B29">
    <cfRule type="expression" priority="47">
      <formula>$B$6&lt;3</formula>
    </cfRule>
  </conditionalFormatting>
  <conditionalFormatting sqref="B28">
    <cfRule type="expression" dxfId="228" priority="46">
      <formula>$B$6&lt;2</formula>
    </cfRule>
  </conditionalFormatting>
  <conditionalFormatting sqref="B38">
    <cfRule type="expression" priority="45">
      <formula>$B$6&lt;7</formula>
    </cfRule>
  </conditionalFormatting>
  <conditionalFormatting sqref="B37">
    <cfRule type="expression" priority="44">
      <formula>$B$6&lt;6</formula>
    </cfRule>
  </conditionalFormatting>
  <conditionalFormatting sqref="B36">
    <cfRule type="expression" priority="43">
      <formula>$B$6&lt;5</formula>
    </cfRule>
  </conditionalFormatting>
  <conditionalFormatting sqref="B35">
    <cfRule type="expression" priority="42">
      <formula>$B$6&lt;4</formula>
    </cfRule>
  </conditionalFormatting>
  <conditionalFormatting sqref="B34">
    <cfRule type="expression" priority="41">
      <formula>$B$6&lt;3</formula>
    </cfRule>
  </conditionalFormatting>
  <conditionalFormatting sqref="B33">
    <cfRule type="expression" priority="40">
      <formula>$B$6&lt;2</formula>
    </cfRule>
  </conditionalFormatting>
  <conditionalFormatting sqref="D15:E15">
    <cfRule type="expression" dxfId="227" priority="37">
      <formula>$B$15&gt;0</formula>
    </cfRule>
  </conditionalFormatting>
  <conditionalFormatting sqref="D16:E16">
    <cfRule type="expression" dxfId="226" priority="36">
      <formula>$B$16&gt;0</formula>
    </cfRule>
  </conditionalFormatting>
  <conditionalFormatting sqref="D17:E17">
    <cfRule type="expression" dxfId="225" priority="35">
      <formula>$B$17&gt;0</formula>
    </cfRule>
  </conditionalFormatting>
  <conditionalFormatting sqref="D19:E19">
    <cfRule type="expression" dxfId="224" priority="34">
      <formula>$B$19&gt;0</formula>
    </cfRule>
  </conditionalFormatting>
  <conditionalFormatting sqref="D20:E20">
    <cfRule type="expression" dxfId="223" priority="33">
      <formula>$B$20&gt;0</formula>
    </cfRule>
  </conditionalFormatting>
  <conditionalFormatting sqref="D21:E21">
    <cfRule type="expression" dxfId="222" priority="32">
      <formula>$B$21&gt;0</formula>
    </cfRule>
  </conditionalFormatting>
  <conditionalFormatting sqref="D23:E23">
    <cfRule type="expression" dxfId="221" priority="31">
      <formula>$B$23&gt;0</formula>
    </cfRule>
  </conditionalFormatting>
  <conditionalFormatting sqref="D24:E24">
    <cfRule type="expression" dxfId="220" priority="30">
      <formula>$B$24&gt;0</formula>
    </cfRule>
  </conditionalFormatting>
  <conditionalFormatting sqref="D25:E25">
    <cfRule type="expression" dxfId="219" priority="29">
      <formula>$B$25&gt;0</formula>
    </cfRule>
  </conditionalFormatting>
  <conditionalFormatting sqref="D27:E27">
    <cfRule type="expression" dxfId="218" priority="28">
      <formula>$B$27&gt;0</formula>
    </cfRule>
  </conditionalFormatting>
  <conditionalFormatting sqref="D28:E28">
    <cfRule type="expression" dxfId="217" priority="27">
      <formula>$B$28&gt;0</formula>
    </cfRule>
  </conditionalFormatting>
  <conditionalFormatting sqref="D29:E29">
    <cfRule type="expression" dxfId="216" priority="26">
      <formula>$B$29&gt;0</formula>
    </cfRule>
  </conditionalFormatting>
  <conditionalFormatting sqref="D30:E30">
    <cfRule type="expression" dxfId="215" priority="25">
      <formula>$B$30&gt;0</formula>
    </cfRule>
  </conditionalFormatting>
  <conditionalFormatting sqref="D32:E32">
    <cfRule type="expression" dxfId="214" priority="24">
      <formula>$B$32&gt;0</formula>
    </cfRule>
  </conditionalFormatting>
  <conditionalFormatting sqref="D33:E33">
    <cfRule type="expression" dxfId="213" priority="22">
      <formula>$B$33&gt;0</formula>
    </cfRule>
  </conditionalFormatting>
  <conditionalFormatting sqref="D34:E34">
    <cfRule type="expression" dxfId="212" priority="21">
      <formula>$B$34&gt;0</formula>
    </cfRule>
  </conditionalFormatting>
  <conditionalFormatting sqref="D35:E35">
    <cfRule type="expression" dxfId="211" priority="20">
      <formula>$B$35&gt;0</formula>
    </cfRule>
  </conditionalFormatting>
  <conditionalFormatting sqref="D36:E36">
    <cfRule type="expression" dxfId="210" priority="19">
      <formula>$B$36&gt;0</formula>
    </cfRule>
  </conditionalFormatting>
  <conditionalFormatting sqref="D37:E37">
    <cfRule type="expression" dxfId="209" priority="18">
      <formula>$B$37&gt;0</formula>
    </cfRule>
  </conditionalFormatting>
  <conditionalFormatting sqref="D38:E38">
    <cfRule type="expression" dxfId="208" priority="17">
      <formula>$B$38&gt;0</formula>
    </cfRule>
  </conditionalFormatting>
  <conditionalFormatting sqref="D42:E42 E43">
    <cfRule type="expression" dxfId="207" priority="16">
      <formula>$C$42&gt;0</formula>
    </cfRule>
  </conditionalFormatting>
  <conditionalFormatting sqref="D43:E44">
    <cfRule type="expression" dxfId="206" priority="15">
      <formula>$C$44&gt;0</formula>
    </cfRule>
  </conditionalFormatting>
  <conditionalFormatting sqref="D45:E45">
    <cfRule type="expression" dxfId="205" priority="14">
      <formula>$C$45&gt;0</formula>
    </cfRule>
  </conditionalFormatting>
  <conditionalFormatting sqref="D46:E46">
    <cfRule type="expression" dxfId="204" priority="13">
      <formula>$C$46&gt;0</formula>
    </cfRule>
  </conditionalFormatting>
  <conditionalFormatting sqref="D47:E47">
    <cfRule type="expression" dxfId="203" priority="12">
      <formula>$C$47&gt;0</formula>
    </cfRule>
  </conditionalFormatting>
  <conditionalFormatting sqref="D48:E48">
    <cfRule type="expression" dxfId="202" priority="11">
      <formula>$C$48&gt;0</formula>
    </cfRule>
  </conditionalFormatting>
  <conditionalFormatting sqref="D49:E49">
    <cfRule type="expression" dxfId="201" priority="10">
      <formula>$C$49&gt;0</formula>
    </cfRule>
  </conditionalFormatting>
  <conditionalFormatting sqref="D50:E50">
    <cfRule type="expression" dxfId="200" priority="9">
      <formula>$C$50&gt;0</formula>
    </cfRule>
  </conditionalFormatting>
  <conditionalFormatting sqref="D51:E51">
    <cfRule type="expression" dxfId="199" priority="8">
      <formula>$C$51&gt;0</formula>
    </cfRule>
  </conditionalFormatting>
  <conditionalFormatting sqref="D52:E52">
    <cfRule type="expression" dxfId="198" priority="7">
      <formula>$C$52&gt;0</formula>
    </cfRule>
  </conditionalFormatting>
  <conditionalFormatting sqref="D53:E53">
    <cfRule type="expression" dxfId="197" priority="5">
      <formula>$C$53&gt;0</formula>
    </cfRule>
  </conditionalFormatting>
  <conditionalFormatting sqref="D54:E54">
    <cfRule type="expression" dxfId="196" priority="4">
      <formula>$C$54&gt;0</formula>
    </cfRule>
  </conditionalFormatting>
  <conditionalFormatting sqref="D55:E55">
    <cfRule type="expression" dxfId="195" priority="3">
      <formula>$C$55&gt;0</formula>
    </cfRule>
  </conditionalFormatting>
  <conditionalFormatting sqref="D56:E56">
    <cfRule type="expression" dxfId="194" priority="2">
      <formula>$C$56&gt;0</formula>
    </cfRule>
  </conditionalFormatting>
  <conditionalFormatting sqref="E42:E56">
    <cfRule type="cellIs" dxfId="193" priority="1" operator="greaterThan">
      <formula>2</formula>
    </cfRule>
  </conditionalFormatting>
  <printOptions horizontalCentered="1" verticalCentered="1"/>
  <pageMargins left="0.70866141732283472" right="0.70866141732283472" top="0.74803149606299213" bottom="0.74803149606299213" header="0.31496062992125984" footer="0.31496062992125984"/>
  <pageSetup paperSize="8" scale="98"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表!$E$3:$E$8</xm:f>
          </x14:formula1>
          <xm:sqref>C42:C56</xm:sqref>
        </x14:dataValidation>
        <x14:dataValidation type="list" allowBlank="1" showInputMessage="1" showErrorMessage="1">
          <x14:formula1>
            <xm:f>表!$E$23:$E$25</xm:f>
          </x14:formula1>
          <xm:sqref>B2</xm:sqref>
        </x14:dataValidation>
        <x14:dataValidation type="list" allowBlank="1" showInputMessage="1" showErrorMessage="1">
          <x14:formula1>
            <xm:f>表!$E$19:$E$20</xm:f>
          </x14:formula1>
          <xm:sqref>B11</xm:sqref>
        </x14:dataValidation>
        <x14:dataValidation type="list" allowBlank="1" showInputMessage="1" showErrorMessage="1">
          <x14:formula1>
            <xm:f>'直管換算表（参考）'!$B$34:$B$36</xm:f>
          </x14:formula1>
          <xm:sqref>B10</xm:sqref>
        </x14:dataValidation>
        <x14:dataValidation type="list" allowBlank="1" showInputMessage="1" showErrorMessage="1">
          <x14:formula1>
            <xm:f>'直管換算表（参考）'!$C$4:$I$4</xm:f>
          </x14:formula1>
          <xm:sqref>B9 B42:B56</xm:sqref>
        </x14:dataValidation>
        <x14:dataValidation type="list" allowBlank="1" showInputMessage="1" showErrorMessage="1">
          <x14:formula1>
            <xm:f>'直管換算表（参考）'!$B$7:$B$26</xm:f>
          </x14:formula1>
          <xm:sqref>A53:A56</xm:sqref>
        </x14:dataValidation>
        <x14:dataValidation type="list" allowBlank="1" showInputMessage="1" showErrorMessage="1">
          <x14:formula1>
            <xm:f>'直管換算表（参考）'!$B$5:$B$19</xm:f>
          </x14:formula1>
          <xm:sqref>A42:A52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2"/>
  <sheetViews>
    <sheetView zoomScaleNormal="100" workbookViewId="0">
      <selection activeCell="D14" sqref="D14:E39"/>
    </sheetView>
  </sheetViews>
  <sheetFormatPr defaultRowHeight="13.5"/>
  <cols>
    <col min="1" max="2" width="15.625" customWidth="1"/>
    <col min="3" max="3" width="10.625" style="11" customWidth="1"/>
    <col min="4" max="5" width="15.625" customWidth="1"/>
    <col min="6" max="6" width="9" hidden="1" customWidth="1"/>
    <col min="7" max="7" width="11.75" hidden="1" customWidth="1"/>
    <col min="8" max="8" width="20.625" customWidth="1"/>
    <col min="9" max="9" width="9" customWidth="1"/>
  </cols>
  <sheetData>
    <row r="1" spans="1:8" ht="20.100000000000001" customHeight="1" thickBot="1">
      <c r="A1" s="64" t="s">
        <v>84</v>
      </c>
      <c r="B1" s="65" t="s">
        <v>83</v>
      </c>
      <c r="D1" s="179" t="s">
        <v>114</v>
      </c>
      <c r="E1" s="179"/>
    </row>
    <row r="2" spans="1:8">
      <c r="A2" s="84" t="s">
        <v>45</v>
      </c>
      <c r="B2" s="85">
        <v>2</v>
      </c>
      <c r="C2" s="86" t="s">
        <v>46</v>
      </c>
      <c r="F2" s="20">
        <f>VLOOKUP(B2,表!E23:F25,2,0)</f>
        <v>5</v>
      </c>
    </row>
    <row r="3" spans="1:8">
      <c r="A3" s="87" t="s">
        <v>47</v>
      </c>
      <c r="B3" s="60">
        <v>0.4</v>
      </c>
      <c r="C3" s="88" t="s">
        <v>48</v>
      </c>
      <c r="H3" s="10"/>
    </row>
    <row r="4" spans="1:8" ht="14.25" thickBot="1">
      <c r="A4" s="89" t="s">
        <v>43</v>
      </c>
      <c r="B4" s="90">
        <v>8</v>
      </c>
      <c r="C4" s="91" t="s">
        <v>41</v>
      </c>
      <c r="H4" s="10"/>
    </row>
    <row r="5" spans="1:8" ht="5.0999999999999996" customHeight="1">
      <c r="A5" s="2"/>
      <c r="B5" s="62"/>
      <c r="C5" s="2"/>
      <c r="H5" s="10"/>
    </row>
    <row r="6" spans="1:8">
      <c r="A6" s="25" t="s">
        <v>44</v>
      </c>
      <c r="B6" s="61">
        <f>IFERROR(VLOOKUP(B4,表!B3:C32,2,FALSE),"")</f>
        <v>3</v>
      </c>
      <c r="C6" s="26" t="s">
        <v>42</v>
      </c>
      <c r="H6" s="10"/>
    </row>
    <row r="7" spans="1:8">
      <c r="A7" s="25" t="s">
        <v>66</v>
      </c>
      <c r="B7" s="61">
        <f>IFERROR((VLOOKUP(B6,表!E2:G15,3,FALSE)),"")</f>
        <v>20</v>
      </c>
      <c r="C7" s="26" t="s">
        <v>56</v>
      </c>
      <c r="H7" s="10"/>
    </row>
    <row r="8" spans="1:8" ht="5.0999999999999996" customHeight="1" thickBot="1">
      <c r="A8" s="111"/>
      <c r="B8" s="115"/>
      <c r="C8" s="116"/>
      <c r="H8" s="10"/>
    </row>
    <row r="9" spans="1:8" ht="14.25" thickBot="1">
      <c r="A9" s="84" t="s">
        <v>67</v>
      </c>
      <c r="B9" s="114">
        <v>13</v>
      </c>
      <c r="C9" s="2" t="s">
        <v>40</v>
      </c>
      <c r="D9" s="108"/>
      <c r="H9" s="10"/>
    </row>
    <row r="10" spans="1:8">
      <c r="A10" s="112" t="s">
        <v>65</v>
      </c>
      <c r="B10" s="106" t="s">
        <v>37</v>
      </c>
      <c r="C10" s="134"/>
      <c r="D10" s="2"/>
      <c r="E10" s="2"/>
      <c r="F10" s="20">
        <f>VLOOKUP(B10,'直管換算表（参考）'!$B$34:$D$36,2,0)</f>
        <v>5</v>
      </c>
      <c r="H10" s="10"/>
    </row>
    <row r="11" spans="1:8" ht="14.25" thickBot="1">
      <c r="A11" s="113" t="s">
        <v>53</v>
      </c>
      <c r="B11" s="105" t="s">
        <v>54</v>
      </c>
      <c r="C11" s="2"/>
      <c r="D11" s="2"/>
      <c r="E11" s="2"/>
      <c r="F11" s="20">
        <f>IF(B11="有",1,0)</f>
        <v>1</v>
      </c>
      <c r="H11" s="10"/>
    </row>
    <row r="12" spans="1:8" ht="5.0999999999999996" customHeight="1" thickBot="1">
      <c r="B12" s="11"/>
      <c r="C12"/>
      <c r="H12" s="10"/>
    </row>
    <row r="13" spans="1:8" ht="40.5" customHeight="1">
      <c r="A13" s="73" t="s">
        <v>68</v>
      </c>
      <c r="B13" s="74">
        <v>39.799999999999997</v>
      </c>
      <c r="C13" s="75" t="s">
        <v>3</v>
      </c>
      <c r="D13" s="69" t="s">
        <v>1</v>
      </c>
      <c r="E13" s="67" t="s">
        <v>82</v>
      </c>
      <c r="F13" s="32" t="s">
        <v>73</v>
      </c>
      <c r="G13" s="17" t="s">
        <v>0</v>
      </c>
      <c r="H13" s="58"/>
    </row>
    <row r="14" spans="1:8">
      <c r="A14" s="76">
        <v>13</v>
      </c>
      <c r="B14" s="59">
        <v>36.799999999999997</v>
      </c>
      <c r="C14" s="77" t="s">
        <v>3</v>
      </c>
      <c r="D14" s="71"/>
      <c r="E14" s="30"/>
      <c r="H14" s="10"/>
    </row>
    <row r="15" spans="1:8">
      <c r="A15" s="78" t="s">
        <v>58</v>
      </c>
      <c r="B15" s="42">
        <v>7</v>
      </c>
      <c r="C15" s="79" t="s">
        <v>3</v>
      </c>
      <c r="D15" s="55">
        <f>IF(ISBLANK(B15),"",IFERROR(((0.0126+(0.01739-0.1087*(F15/1000))/SQRT(E15))*B15/(F15/1000)*E15^2/(2*9.8)),"　"))</f>
        <v>1.5977572290431019</v>
      </c>
      <c r="E15" s="49">
        <f>IF(ISBLANK(B15),"",IFERROR((G15/1000/60)/((F15/1000)^2*PI()/4),"  "))</f>
        <v>1.5067923606333291</v>
      </c>
      <c r="F15" s="33">
        <f>$A$14</f>
        <v>13</v>
      </c>
      <c r="G15" s="20">
        <f>表!$F3</f>
        <v>12</v>
      </c>
      <c r="H15" s="10"/>
    </row>
    <row r="16" spans="1:8">
      <c r="A16" s="78" t="s">
        <v>59</v>
      </c>
      <c r="B16" s="42"/>
      <c r="C16" s="79" t="s">
        <v>3</v>
      </c>
      <c r="D16" s="55" t="str">
        <f>IF(ISBLANK(B16),"",IFERROR(((0.0126+(0.01739-0.1087*(F16/1000))/SQRT(E16))*B16/(F16/1000)*E16^2/(2*9.8)),"　"))</f>
        <v/>
      </c>
      <c r="E16" s="49" t="str">
        <f>IF(ISBLANK(B16),"",IFERROR((G16/1000/60)/((F16/1000)^2*PI()/4),"  "))</f>
        <v/>
      </c>
      <c r="F16" s="33">
        <f>$A$14</f>
        <v>13</v>
      </c>
      <c r="G16" s="20">
        <f>表!$F4</f>
        <v>24</v>
      </c>
      <c r="H16" s="10"/>
    </row>
    <row r="17" spans="1:8">
      <c r="A17" s="80" t="s">
        <v>60</v>
      </c>
      <c r="B17" s="43">
        <v>29.8</v>
      </c>
      <c r="C17" s="81" t="s">
        <v>3</v>
      </c>
      <c r="D17" s="72">
        <f>IF(ISBLANK(B17),"",IFERROR(((0.0126+(0.01739-0.1087*(F17/1000))/SQRT(E17))*B17/(F17/1000)*E17^2/(2*9.8)),"　"))</f>
        <v>48.070353348395805</v>
      </c>
      <c r="E17" s="50">
        <f>IF(ISBLANK(B17),"",IFERROR((G17/1000/60)/((F17/1000)^2*PI()/4),"  "))</f>
        <v>4.5203770818999862</v>
      </c>
      <c r="F17" s="33">
        <f>$A$14</f>
        <v>13</v>
      </c>
      <c r="G17" s="20">
        <f>表!$F5</f>
        <v>36</v>
      </c>
      <c r="H17" s="10"/>
    </row>
    <row r="18" spans="1:8">
      <c r="A18" s="76">
        <v>16</v>
      </c>
      <c r="B18" s="126"/>
      <c r="C18" s="77" t="s">
        <v>3</v>
      </c>
      <c r="D18" s="54"/>
      <c r="E18" s="31"/>
      <c r="F18" s="34"/>
      <c r="H18" s="10"/>
    </row>
    <row r="19" spans="1:8">
      <c r="A19" s="78" t="s">
        <v>58</v>
      </c>
      <c r="B19" s="122"/>
      <c r="C19" s="79" t="s">
        <v>3</v>
      </c>
      <c r="D19" s="55" t="str">
        <f>IF(ISBLANK(B19),"",IFERROR(((0.0126+(0.01739-0.1087*(F19/1000))/SQRT(E19))*B19/(F19/1000)*E19^2/(2*9.8)),"　"))</f>
        <v/>
      </c>
      <c r="E19" s="49" t="str">
        <f>IF(ISBLANK(B19),"",IFERROR((G19/1000/60)/((F19/1000)^2*PI()/4),"  "))</f>
        <v/>
      </c>
      <c r="F19" s="33">
        <f>$A$18</f>
        <v>16</v>
      </c>
      <c r="G19" s="20">
        <f>表!$F3</f>
        <v>12</v>
      </c>
      <c r="H19" s="10"/>
    </row>
    <row r="20" spans="1:8">
      <c r="A20" s="78" t="s">
        <v>59</v>
      </c>
      <c r="B20" s="122"/>
      <c r="C20" s="79" t="s">
        <v>3</v>
      </c>
      <c r="D20" s="55" t="str">
        <f>IF(ISBLANK(B20),"",IFERROR(((0.0126+(0.01739-0.1087*(F20/1000))/SQRT(E20))*B20/(F20/1000)*E20^2/(2*9.8)),"　"))</f>
        <v/>
      </c>
      <c r="E20" s="49" t="str">
        <f>IF(ISBLANK(B20),"",IFERROR((G20/1000/60)/((F20/1000)^2*PI()/4),"  "))</f>
        <v/>
      </c>
      <c r="F20" s="33">
        <f>$A$18</f>
        <v>16</v>
      </c>
      <c r="G20" s="20">
        <f>表!$F4</f>
        <v>24</v>
      </c>
      <c r="H20" s="10"/>
    </row>
    <row r="21" spans="1:8">
      <c r="A21" s="80" t="s">
        <v>60</v>
      </c>
      <c r="B21" s="123"/>
      <c r="C21" s="81" t="s">
        <v>3</v>
      </c>
      <c r="D21" s="72" t="str">
        <f>IF(ISBLANK(B21),"",IFERROR(((0.0126+(0.01739-0.1087*(F21/1000))/SQRT(E21))*B21/(F21/1000)*E21^2/(2*9.8)),"　"))</f>
        <v/>
      </c>
      <c r="E21" s="50" t="str">
        <f>IF(ISBLANK(B21),"",IFERROR((G21/1000/60)/((F21/1000)^2*PI()/4),"  "))</f>
        <v/>
      </c>
      <c r="F21" s="33">
        <f>$A$18</f>
        <v>16</v>
      </c>
      <c r="G21" s="20">
        <f>表!$F5</f>
        <v>36</v>
      </c>
      <c r="H21" s="10"/>
    </row>
    <row r="22" spans="1:8">
      <c r="A22" s="76">
        <v>20</v>
      </c>
      <c r="B22" s="121">
        <v>3</v>
      </c>
      <c r="C22" s="77" t="s">
        <v>3</v>
      </c>
      <c r="D22" s="54"/>
      <c r="E22" s="31"/>
      <c r="F22" s="34"/>
      <c r="H22" s="10"/>
    </row>
    <row r="23" spans="1:8">
      <c r="A23" s="78" t="s">
        <v>58</v>
      </c>
      <c r="B23" s="122"/>
      <c r="C23" s="79" t="s">
        <v>3</v>
      </c>
      <c r="D23" s="55" t="str">
        <f>IF(ISBLANK(B23),"",IFERROR(((0.0126+(0.01739-0.1087*(F23/1000))/SQRT(E23))*B23/(F23/1000)*E23^2/(2*9.8)),"　"))</f>
        <v/>
      </c>
      <c r="E23" s="49" t="str">
        <f>IF(ISBLANK(B23),"",IFERROR((G23/1000/60)/((F23/1000)^2*PI()/4),"  "))</f>
        <v/>
      </c>
      <c r="F23" s="33">
        <f>$A$22</f>
        <v>20</v>
      </c>
      <c r="G23" s="20">
        <f>表!$F3</f>
        <v>12</v>
      </c>
      <c r="H23" s="10"/>
    </row>
    <row r="24" spans="1:8">
      <c r="A24" s="78" t="s">
        <v>59</v>
      </c>
      <c r="B24" s="122"/>
      <c r="C24" s="79" t="s">
        <v>3</v>
      </c>
      <c r="D24" s="55" t="str">
        <f>IF(ISBLANK(B24),"",IFERROR(((0.0126+(0.01739-0.1087*(F24/1000))/SQRT(E24))*B24/(F24/1000)*E24^2/(2*9.8)),"　"))</f>
        <v/>
      </c>
      <c r="E24" s="49" t="str">
        <f>IF(ISBLANK(B24),"",IFERROR((G24/1000/60)/((F24/1000)^2*PI()/4),"  "))</f>
        <v/>
      </c>
      <c r="F24" s="33">
        <f>$A$22</f>
        <v>20</v>
      </c>
      <c r="G24" s="20">
        <f>表!$F4</f>
        <v>24</v>
      </c>
      <c r="H24" s="10"/>
    </row>
    <row r="25" spans="1:8">
      <c r="A25" s="80" t="s">
        <v>60</v>
      </c>
      <c r="B25" s="123">
        <v>3</v>
      </c>
      <c r="C25" s="81" t="s">
        <v>3</v>
      </c>
      <c r="D25" s="72">
        <f>IF(ISBLANK(B25),"",IFERROR(((0.0126+(0.01739-0.1087*(F25/1000))/SQRT(E25))*B25/(F25/1000)*E25^2/(2*9.8)),"　"))</f>
        <v>0.65908246219060085</v>
      </c>
      <c r="E25" s="50">
        <f>IF(ISBLANK(B25),"",IFERROR((G25/1000/60)/((F25/1000)^2*PI()/4),"  "))</f>
        <v>1.909859317102744</v>
      </c>
      <c r="F25" s="33">
        <f>$A$22</f>
        <v>20</v>
      </c>
      <c r="G25" s="20">
        <f>表!$F5</f>
        <v>36</v>
      </c>
      <c r="H25" s="10"/>
    </row>
    <row r="26" spans="1:8">
      <c r="A26" s="76">
        <v>25</v>
      </c>
      <c r="B26" s="126"/>
      <c r="C26" s="77" t="s">
        <v>3</v>
      </c>
      <c r="D26" s="54"/>
      <c r="E26" s="31"/>
      <c r="F26" s="34"/>
      <c r="H26" s="10"/>
    </row>
    <row r="27" spans="1:8">
      <c r="A27" s="78" t="s">
        <v>58</v>
      </c>
      <c r="B27" s="122"/>
      <c r="C27" s="79" t="s">
        <v>3</v>
      </c>
      <c r="D27" s="55" t="str">
        <f>IF(ISBLANK(B27),"",IFERROR(((0.0126+(0.01739-0.1087*(F27/1000))/SQRT(E27))*B27/(F27/1000)*E27^2/(2*9.8)),"　"))</f>
        <v/>
      </c>
      <c r="E27" s="49" t="str">
        <f>IF(ISBLANK(B27),"",IFERROR((G27/1000/60)/((F27/1000)^2*PI()/4),"  "))</f>
        <v/>
      </c>
      <c r="F27" s="33">
        <f>$A$26</f>
        <v>25</v>
      </c>
      <c r="G27" s="20">
        <f>表!$F3</f>
        <v>12</v>
      </c>
      <c r="H27" s="10"/>
    </row>
    <row r="28" spans="1:8">
      <c r="A28" s="78" t="s">
        <v>59</v>
      </c>
      <c r="B28" s="122"/>
      <c r="C28" s="79" t="s">
        <v>3</v>
      </c>
      <c r="D28" s="55" t="str">
        <f>IF(ISBLANK(B28),"",IFERROR(((0.0126+(0.01739-0.1087*(F28/1000))/SQRT(E28))*B28/(F28/1000)*E28^2/(2*9.8)),"　"))</f>
        <v/>
      </c>
      <c r="E28" s="49" t="str">
        <f>IF(ISBLANK(B28),"",IFERROR((G28/1000/60)/((F28/1000)^2*PI()/4),"  "))</f>
        <v/>
      </c>
      <c r="F28" s="33">
        <f>$A$26</f>
        <v>25</v>
      </c>
      <c r="G28" s="20">
        <f>表!$F4</f>
        <v>24</v>
      </c>
      <c r="H28" s="10"/>
    </row>
    <row r="29" spans="1:8">
      <c r="A29" s="80" t="s">
        <v>60</v>
      </c>
      <c r="B29" s="123"/>
      <c r="C29" s="81" t="s">
        <v>3</v>
      </c>
      <c r="D29" s="72" t="str">
        <f>IF(ISBLANK(B29),"",IFERROR(((0.0126+(0.01739-0.1087*(F29/1000))/SQRT(E29))*B29/(F29/1000)*E29^2/(2*9.8)),"　"))</f>
        <v/>
      </c>
      <c r="E29" s="50" t="str">
        <f>IF(ISBLANK(B29),"",IFERROR((G29/1000/60)/((F29/1000)^2*PI()/4),"  "))</f>
        <v/>
      </c>
      <c r="F29" s="33">
        <f>$A$26</f>
        <v>25</v>
      </c>
      <c r="G29" s="20">
        <f>表!$F5</f>
        <v>36</v>
      </c>
      <c r="H29" s="10"/>
    </row>
    <row r="30" spans="1:8" hidden="1">
      <c r="A30" s="80" t="s">
        <v>78</v>
      </c>
      <c r="B30" s="124"/>
      <c r="C30" s="81" t="s">
        <v>3</v>
      </c>
      <c r="D30" s="72" t="str">
        <f>IF(ISBLANK(B30),"",IFERROR(((0.0126+(0.01739-0.1087*(F30/1000))/SQRT(E30))*B30/(F30/1000)*E30^2/(2*9.8)),"　"))</f>
        <v/>
      </c>
      <c r="E30" s="50" t="str">
        <f>IF(ISBLANK(B30),"",IFERROR((G30/1000/60)/((F30/1000)^2*PI()/4),"  "))</f>
        <v/>
      </c>
      <c r="F30" s="33">
        <f>$A$26</f>
        <v>25</v>
      </c>
      <c r="G30" s="20">
        <f>表!$F6</f>
        <v>48</v>
      </c>
      <c r="H30" s="10"/>
    </row>
    <row r="31" spans="1:8">
      <c r="A31" s="76">
        <v>30</v>
      </c>
      <c r="B31" s="126"/>
      <c r="C31" s="77" t="s">
        <v>3</v>
      </c>
      <c r="D31" s="54"/>
      <c r="E31" s="31"/>
      <c r="F31" s="34"/>
      <c r="H31" s="10"/>
    </row>
    <row r="32" spans="1:8">
      <c r="A32" s="78" t="s">
        <v>58</v>
      </c>
      <c r="B32" s="122"/>
      <c r="C32" s="79" t="s">
        <v>3</v>
      </c>
      <c r="D32" s="55" t="str">
        <f t="shared" ref="D32:D38" si="0">IF(ISBLANK(B32),"",IFERROR(((0.0126+(0.01739-0.1087*(F32/1000))/SQRT(E32))*B32/(F32/1000)*E32^2/(2*9.8)),"　"))</f>
        <v/>
      </c>
      <c r="E32" s="49" t="str">
        <f>IF(ISBLANK(B32),"",IFERROR((G32/1000/60)/((F32/1000)^2*PI()/4),"  "))</f>
        <v/>
      </c>
      <c r="F32" s="33">
        <f t="shared" ref="F32:F38" si="1">$A$31</f>
        <v>30</v>
      </c>
      <c r="G32" s="20">
        <f>表!$F3</f>
        <v>12</v>
      </c>
      <c r="H32" s="10"/>
    </row>
    <row r="33" spans="1:8">
      <c r="A33" s="78" t="s">
        <v>59</v>
      </c>
      <c r="B33" s="122"/>
      <c r="C33" s="79" t="s">
        <v>3</v>
      </c>
      <c r="D33" s="55" t="str">
        <f t="shared" si="0"/>
        <v/>
      </c>
      <c r="E33" s="49" t="str">
        <f t="shared" ref="E33:E38" si="2">IF(ISBLANK(B33),"",IFERROR((G33/1000/60)/((F33/1000)^2*PI()/4),"  "))</f>
        <v/>
      </c>
      <c r="F33" s="33">
        <f t="shared" si="1"/>
        <v>30</v>
      </c>
      <c r="G33" s="20">
        <f>表!$F4</f>
        <v>24</v>
      </c>
      <c r="H33" s="10"/>
    </row>
    <row r="34" spans="1:8" ht="14.25" thickBot="1">
      <c r="A34" s="82" t="s">
        <v>60</v>
      </c>
      <c r="B34" s="125"/>
      <c r="C34" s="83" t="s">
        <v>3</v>
      </c>
      <c r="D34" s="72" t="str">
        <f t="shared" si="0"/>
        <v/>
      </c>
      <c r="E34" s="50" t="str">
        <f t="shared" si="2"/>
        <v/>
      </c>
      <c r="F34" s="33">
        <f t="shared" si="1"/>
        <v>30</v>
      </c>
      <c r="G34" s="20">
        <f>表!$F5</f>
        <v>36</v>
      </c>
      <c r="H34" s="10"/>
    </row>
    <row r="35" spans="1:8" ht="14.25" hidden="1" thickBot="1">
      <c r="A35" s="37" t="s">
        <v>78</v>
      </c>
      <c r="B35" s="45"/>
      <c r="C35" s="35" t="s">
        <v>3</v>
      </c>
      <c r="D35" s="51" t="str">
        <f t="shared" si="0"/>
        <v/>
      </c>
      <c r="E35" s="52" t="str">
        <f t="shared" si="2"/>
        <v/>
      </c>
      <c r="F35" s="33">
        <f t="shared" si="1"/>
        <v>30</v>
      </c>
      <c r="G35" s="20">
        <f>表!$F6</f>
        <v>48</v>
      </c>
      <c r="H35" s="10"/>
    </row>
    <row r="36" spans="1:8" ht="14.25" hidden="1" thickBot="1">
      <c r="A36" s="12" t="s">
        <v>79</v>
      </c>
      <c r="B36" s="46"/>
      <c r="C36" s="13" t="s">
        <v>3</v>
      </c>
      <c r="D36" s="48" t="str">
        <f t="shared" si="0"/>
        <v/>
      </c>
      <c r="E36" s="49" t="str">
        <f t="shared" si="2"/>
        <v/>
      </c>
      <c r="F36" s="33">
        <f t="shared" si="1"/>
        <v>30</v>
      </c>
      <c r="G36" s="20">
        <f>表!$F7</f>
        <v>60</v>
      </c>
      <c r="H36" s="10"/>
    </row>
    <row r="37" spans="1:8" ht="14.25" hidden="1" thickBot="1">
      <c r="A37" s="12" t="s">
        <v>80</v>
      </c>
      <c r="B37" s="46"/>
      <c r="C37" s="13" t="s">
        <v>3</v>
      </c>
      <c r="D37" s="48" t="str">
        <f t="shared" si="0"/>
        <v/>
      </c>
      <c r="E37" s="49" t="str">
        <f t="shared" si="2"/>
        <v/>
      </c>
      <c r="F37" s="33">
        <f t="shared" si="1"/>
        <v>30</v>
      </c>
      <c r="G37" s="20">
        <f>表!$F8</f>
        <v>72</v>
      </c>
      <c r="H37" s="10"/>
    </row>
    <row r="38" spans="1:8" ht="14.25" hidden="1" thickBot="1">
      <c r="A38" s="14" t="s">
        <v>81</v>
      </c>
      <c r="B38" s="43"/>
      <c r="C38" s="15" t="s">
        <v>3</v>
      </c>
      <c r="D38" s="53" t="str">
        <f t="shared" si="0"/>
        <v/>
      </c>
      <c r="E38" s="50" t="str">
        <f t="shared" si="2"/>
        <v/>
      </c>
      <c r="F38" s="33">
        <f t="shared" si="1"/>
        <v>30</v>
      </c>
      <c r="G38" s="20">
        <f>表!$F9</f>
        <v>84</v>
      </c>
      <c r="H38" s="10"/>
    </row>
    <row r="39" spans="1:8" ht="15" thickTop="1" thickBot="1">
      <c r="A39" s="2"/>
      <c r="B39" s="18"/>
      <c r="C39" s="2"/>
      <c r="D39" s="47">
        <f>SUM(D14:D38)</f>
        <v>50.327193039629513</v>
      </c>
      <c r="E39" s="41"/>
      <c r="F39" s="2"/>
      <c r="G39" s="2"/>
      <c r="H39" s="3"/>
    </row>
    <row r="40" spans="1:8" ht="5.0999999999999996" customHeight="1" thickTop="1" thickBot="1">
      <c r="B40" s="11"/>
      <c r="C40"/>
      <c r="D40" s="29"/>
      <c r="E40" s="2"/>
      <c r="H40" s="10"/>
    </row>
    <row r="41" spans="1:8" ht="40.5" customHeight="1">
      <c r="A41" s="93" t="s">
        <v>63</v>
      </c>
      <c r="B41" s="94" t="s">
        <v>85</v>
      </c>
      <c r="C41" s="95" t="s">
        <v>62</v>
      </c>
      <c r="D41" s="92" t="s">
        <v>1</v>
      </c>
      <c r="E41" s="67" t="s">
        <v>82</v>
      </c>
      <c r="F41" s="21" t="s">
        <v>57</v>
      </c>
      <c r="G41" s="17" t="s">
        <v>52</v>
      </c>
      <c r="H41" s="58"/>
    </row>
    <row r="42" spans="1:8">
      <c r="A42" s="96" t="s">
        <v>16</v>
      </c>
      <c r="B42" s="22">
        <v>13</v>
      </c>
      <c r="C42" s="97">
        <v>1</v>
      </c>
      <c r="D42" s="54">
        <f t="shared" ref="D42:D56" si="3">IFERROR(((0.0126+(0.01739-0.1087*(B42/1000))/SQRT(E42))*F42/(B42/1000)*E42^2/(2*9.8)),"　")</f>
        <v>0.68475309816132945</v>
      </c>
      <c r="E42" s="52">
        <f t="shared" ref="E42:E56" si="4">IFERROR((G42/1000/60)/((B42/1000)^2*PI()/4),"  ")</f>
        <v>1.5067923606333291</v>
      </c>
      <c r="F42" s="20">
        <f>INDEX('直管換算表（参考）'!$C$5:$I$26,MATCH(A42,'直管換算表（参考）'!$B$5:$B$26,0),MATCH(B42,'直管換算表（参考）'!$C$4:$I$4,0))</f>
        <v>3</v>
      </c>
      <c r="G42" s="20">
        <f>VLOOKUP(C42,表!$E$2:$G$15,2,0)</f>
        <v>12</v>
      </c>
      <c r="H42" s="10"/>
    </row>
    <row r="43" spans="1:8">
      <c r="A43" s="118" t="s">
        <v>17</v>
      </c>
      <c r="B43" s="119">
        <v>13</v>
      </c>
      <c r="C43" s="120">
        <v>1</v>
      </c>
      <c r="D43" s="55">
        <f t="shared" si="3"/>
        <v>0.5478024785290635</v>
      </c>
      <c r="E43" s="49">
        <f t="shared" si="4"/>
        <v>1.5067923606333291</v>
      </c>
      <c r="F43" s="20">
        <f>INDEX('直管換算表（参考）'!$C$5:$I$26,MATCH(A43,'直管換算表（参考）'!$B$5:$B$26,0),MATCH(B43,'直管換算表（参考）'!$C$4:$I$4,0))</f>
        <v>2.4</v>
      </c>
      <c r="G43" s="20">
        <f>VLOOKUP(C43,表!$E$2:$G$15,2,0)</f>
        <v>12</v>
      </c>
      <c r="H43" s="10"/>
    </row>
    <row r="44" spans="1:8">
      <c r="A44" s="98" t="s">
        <v>10</v>
      </c>
      <c r="B44" s="23">
        <v>13</v>
      </c>
      <c r="C44" s="99">
        <v>1</v>
      </c>
      <c r="D44" s="55">
        <f t="shared" si="3"/>
        <v>0.11412551636022158</v>
      </c>
      <c r="E44" s="49">
        <f t="shared" si="4"/>
        <v>1.5067923606333291</v>
      </c>
      <c r="F44" s="20">
        <f>INDEX('直管換算表（参考）'!$C$5:$I$26,MATCH(A44,'直管換算表（参考）'!$B$5:$B$26,0),MATCH(B44,'直管換算表（参考）'!$C$4:$I$4,0))</f>
        <v>0.5</v>
      </c>
      <c r="G44" s="20">
        <f>VLOOKUP(C44,表!$E$2:$G$15,2,0)</f>
        <v>12</v>
      </c>
      <c r="H44" s="10"/>
    </row>
    <row r="45" spans="1:8">
      <c r="A45" s="98" t="s">
        <v>10</v>
      </c>
      <c r="B45" s="23">
        <v>13</v>
      </c>
      <c r="C45" s="99">
        <v>3</v>
      </c>
      <c r="D45" s="55">
        <f t="shared" si="3"/>
        <v>0.80654955282543284</v>
      </c>
      <c r="E45" s="49">
        <f t="shared" si="4"/>
        <v>4.5203770818999862</v>
      </c>
      <c r="F45" s="20">
        <f>INDEX('直管換算表（参考）'!$C$5:$I$26,MATCH(A45,'直管換算表（参考）'!$B$5:$B$26,0),MATCH(B45,'直管換算表（参考）'!$C$4:$I$4,0))</f>
        <v>0.5</v>
      </c>
      <c r="G45" s="20">
        <f>VLOOKUP(C45,表!$E$2:$G$15,2,0)</f>
        <v>36</v>
      </c>
      <c r="H45" s="10"/>
    </row>
    <row r="46" spans="1:8">
      <c r="A46" s="98" t="s">
        <v>10</v>
      </c>
      <c r="B46" s="23">
        <v>13</v>
      </c>
      <c r="C46" s="99">
        <v>3</v>
      </c>
      <c r="D46" s="55">
        <f t="shared" si="3"/>
        <v>0.80654955282543284</v>
      </c>
      <c r="E46" s="49">
        <f t="shared" si="4"/>
        <v>4.5203770818999862</v>
      </c>
      <c r="F46" s="20">
        <f>INDEX('直管換算表（参考）'!$C$5:$I$26,MATCH(A46,'直管換算表（参考）'!$B$5:$B$26,0),MATCH(B46,'直管換算表（参考）'!$C$4:$I$4,0))</f>
        <v>0.5</v>
      </c>
      <c r="G46" s="20">
        <f>VLOOKUP(C46,表!$E$2:$G$15,2,0)</f>
        <v>36</v>
      </c>
      <c r="H46" s="10"/>
    </row>
    <row r="47" spans="1:8">
      <c r="A47" s="98" t="s">
        <v>10</v>
      </c>
      <c r="B47" s="23">
        <v>13</v>
      </c>
      <c r="C47" s="99">
        <v>3</v>
      </c>
      <c r="D47" s="55">
        <f t="shared" si="3"/>
        <v>0.80654955282543284</v>
      </c>
      <c r="E47" s="49">
        <f t="shared" si="4"/>
        <v>4.5203770818999862</v>
      </c>
      <c r="F47" s="20">
        <f>INDEX('直管換算表（参考）'!$C$5:$I$26,MATCH(A47,'直管換算表（参考）'!$B$5:$B$26,0),MATCH(B47,'直管換算表（参考）'!$C$4:$I$4,0))</f>
        <v>0.5</v>
      </c>
      <c r="G47" s="20">
        <f>VLOOKUP(C47,表!$E$2:$G$15,2,0)</f>
        <v>36</v>
      </c>
      <c r="H47" s="10"/>
    </row>
    <row r="48" spans="1:8" ht="27">
      <c r="A48" s="98" t="s">
        <v>11</v>
      </c>
      <c r="B48" s="23">
        <v>13</v>
      </c>
      <c r="C48" s="99">
        <v>3</v>
      </c>
      <c r="D48" s="55">
        <f t="shared" si="3"/>
        <v>0.80654955282543284</v>
      </c>
      <c r="E48" s="49">
        <f t="shared" si="4"/>
        <v>4.5203770818999862</v>
      </c>
      <c r="F48" s="20">
        <f>INDEX('直管換算表（参考）'!$C$5:$I$26,MATCH(A48,'直管換算表（参考）'!$B$5:$B$26,0),MATCH(B48,'直管換算表（参考）'!$C$4:$I$4,0))</f>
        <v>0.5</v>
      </c>
      <c r="G48" s="20">
        <f>VLOOKUP(C48,表!$E$2:$G$15,2,0)</f>
        <v>36</v>
      </c>
      <c r="H48" s="10"/>
    </row>
    <row r="49" spans="1:8">
      <c r="A49" s="98" t="s">
        <v>10</v>
      </c>
      <c r="B49" s="23">
        <v>13</v>
      </c>
      <c r="C49" s="99">
        <v>3</v>
      </c>
      <c r="D49" s="55">
        <f t="shared" si="3"/>
        <v>0.80654955282543284</v>
      </c>
      <c r="E49" s="49">
        <f t="shared" si="4"/>
        <v>4.5203770818999862</v>
      </c>
      <c r="F49" s="20">
        <f>INDEX('直管換算表（参考）'!$C$5:$I$26,MATCH(A49,'直管換算表（参考）'!$B$5:$B$26,0),MATCH(B49,'直管換算表（参考）'!$C$4:$I$4,0))</f>
        <v>0.5</v>
      </c>
      <c r="G49" s="20">
        <f>VLOOKUP(C49,表!$E$2:$G$15,2,0)</f>
        <v>36</v>
      </c>
      <c r="H49" s="10"/>
    </row>
    <row r="50" spans="1:8">
      <c r="A50" s="98" t="s">
        <v>13</v>
      </c>
      <c r="B50" s="23">
        <v>20</v>
      </c>
      <c r="C50" s="99">
        <v>3</v>
      </c>
      <c r="D50" s="55">
        <f t="shared" si="3"/>
        <v>0.24166356946988696</v>
      </c>
      <c r="E50" s="49">
        <f t="shared" si="4"/>
        <v>1.909859317102744</v>
      </c>
      <c r="F50" s="20">
        <f>INDEX('直管換算表（参考）'!$C$5:$I$26,MATCH(A50,'直管換算表（参考）'!$B$5:$B$26,0),MATCH(B50,'直管換算表（参考）'!$C$4:$I$4,0))</f>
        <v>1.1000000000000001</v>
      </c>
      <c r="G50" s="20">
        <f>VLOOKUP(C50,表!$E$2:$G$15,2,0)</f>
        <v>36</v>
      </c>
      <c r="H50" s="10"/>
    </row>
    <row r="51" spans="1:8">
      <c r="A51" s="98" t="s">
        <v>13</v>
      </c>
      <c r="B51" s="23">
        <v>20</v>
      </c>
      <c r="C51" s="99">
        <v>3</v>
      </c>
      <c r="D51" s="55">
        <f t="shared" si="3"/>
        <v>0.24166356946988696</v>
      </c>
      <c r="E51" s="49">
        <f t="shared" si="4"/>
        <v>1.909859317102744</v>
      </c>
      <c r="F51" s="20">
        <f>INDEX('直管換算表（参考）'!$C$5:$I$26,MATCH(A51,'直管換算表（参考）'!$B$5:$B$26,0),MATCH(B51,'直管換算表（参考）'!$C$4:$I$4,0))</f>
        <v>1.1000000000000001</v>
      </c>
      <c r="G51" s="20">
        <f>VLOOKUP(C51,表!$E$2:$G$15,2,0)</f>
        <v>36</v>
      </c>
      <c r="H51" s="10"/>
    </row>
    <row r="52" spans="1:8">
      <c r="A52" s="98" t="s">
        <v>23</v>
      </c>
      <c r="B52" s="23">
        <v>13</v>
      </c>
      <c r="C52" s="99">
        <v>3</v>
      </c>
      <c r="D52" s="55">
        <f t="shared" si="3"/>
        <v>2.4196486584762984</v>
      </c>
      <c r="E52" s="49">
        <f t="shared" si="4"/>
        <v>4.5203770818999862</v>
      </c>
      <c r="F52" s="20">
        <f>INDEX('直管換算表（参考）'!$C$5:$I$26,MATCH(A52,'直管換算表（参考）'!$B$5:$B$26,0),MATCH(B52,'直管換算表（参考）'!$C$4:$I$4,0))</f>
        <v>1.5</v>
      </c>
      <c r="G52" s="20">
        <f>VLOOKUP(C52,表!$E$2:$G$15,2,0)</f>
        <v>36</v>
      </c>
      <c r="H52" s="10"/>
    </row>
    <row r="53" spans="1:8" ht="27">
      <c r="A53" s="100" t="s">
        <v>5</v>
      </c>
      <c r="B53" s="36">
        <f>B9</f>
        <v>13</v>
      </c>
      <c r="C53" s="101">
        <f>B6</f>
        <v>3</v>
      </c>
      <c r="D53" s="55">
        <f t="shared" si="3"/>
        <v>5.6458468697780306</v>
      </c>
      <c r="E53" s="49">
        <f t="shared" si="4"/>
        <v>4.5203770818999862</v>
      </c>
      <c r="F53" s="20">
        <f>INDEX('直管換算表（参考）'!$C$5:$I$26,MATCH(A53,'直管換算表（参考）'!$B$5:$B$26,0),MATCH(B53,'直管換算表（参考）'!$C$4:$I$4,0))</f>
        <v>3.5</v>
      </c>
      <c r="G53" s="20">
        <f>VLOOKUP(C53,表!$E$2:$G$15,2,0)</f>
        <v>36</v>
      </c>
      <c r="H53" s="10"/>
    </row>
    <row r="54" spans="1:8">
      <c r="A54" s="100" t="s">
        <v>26</v>
      </c>
      <c r="B54" s="23">
        <v>13</v>
      </c>
      <c r="C54" s="101">
        <f>B6</f>
        <v>3</v>
      </c>
      <c r="D54" s="55">
        <f t="shared" si="3"/>
        <v>2.4196486584762984</v>
      </c>
      <c r="E54" s="49">
        <f t="shared" si="4"/>
        <v>4.5203770818999862</v>
      </c>
      <c r="F54" s="20">
        <f>INDEX('直管換算表（参考）'!$C$5:$I$26,MATCH(A54,'直管換算表（参考）'!$B$5:$B$26,0),MATCH(B54,'直管換算表（参考）'!$C$4:$I$4,0))</f>
        <v>1.5</v>
      </c>
      <c r="G54" s="20">
        <f>VLOOKUP(C54,表!$E$2:$G$15,2,0)</f>
        <v>36</v>
      </c>
      <c r="H54" s="10"/>
    </row>
    <row r="55" spans="1:8">
      <c r="A55" s="100" t="s">
        <v>24</v>
      </c>
      <c r="B55" s="23">
        <v>20</v>
      </c>
      <c r="C55" s="101">
        <f>B6</f>
        <v>3</v>
      </c>
      <c r="D55" s="55">
        <f t="shared" si="3"/>
        <v>0.4393883081270672</v>
      </c>
      <c r="E55" s="49">
        <f t="shared" si="4"/>
        <v>1.909859317102744</v>
      </c>
      <c r="F55" s="20">
        <f>INDEX('直管換算表（参考）'!$C$5:$I$26,MATCH(A55,'直管換算表（参考）'!$B$5:$B$26,0),MATCH(B55,'直管換算表（参考）'!$C$4:$I$4,0))</f>
        <v>2</v>
      </c>
      <c r="G55" s="20">
        <f>VLOOKUP(C55,表!$E$2:$G$15,2,0)</f>
        <v>36</v>
      </c>
      <c r="H55" s="10"/>
    </row>
    <row r="56" spans="1:8" ht="14.25" thickBot="1">
      <c r="A56" s="102" t="s">
        <v>2</v>
      </c>
      <c r="B56" s="103">
        <v>20</v>
      </c>
      <c r="C56" s="104">
        <f>B6</f>
        <v>3</v>
      </c>
      <c r="D56" s="56">
        <f t="shared" si="3"/>
        <v>0.4393883081270672</v>
      </c>
      <c r="E56" s="50">
        <f t="shared" si="4"/>
        <v>1.909859317102744</v>
      </c>
      <c r="F56" s="20">
        <f>INDEX('直管換算表（参考）'!$C$5:$I$26,MATCH(A56,'直管換算表（参考）'!$B$5:$B$26,0),MATCH(B56,'直管換算表（参考）'!$C$4:$I$4,0))</f>
        <v>2</v>
      </c>
      <c r="G56" s="20">
        <f>VLOOKUP(C56,表!$E$2:$G$15,2,0)</f>
        <v>36</v>
      </c>
      <c r="H56" s="10"/>
    </row>
    <row r="57" spans="1:8" ht="15" thickTop="1" thickBot="1">
      <c r="B57" s="11"/>
      <c r="C57"/>
      <c r="D57" s="47">
        <f>SUM(D42:D56)</f>
        <v>17.226676799102314</v>
      </c>
      <c r="E57" s="3"/>
      <c r="H57" s="10"/>
    </row>
    <row r="58" spans="1:8" ht="15" thickTop="1" thickBot="1">
      <c r="A58" s="24" t="s">
        <v>61</v>
      </c>
      <c r="B58" s="11"/>
      <c r="C58"/>
      <c r="D58" s="10"/>
      <c r="E58" s="10"/>
      <c r="H58" s="10"/>
    </row>
    <row r="59" spans="1:8" ht="15" thickTop="1" thickBot="1">
      <c r="A59" s="66" t="s">
        <v>49</v>
      </c>
      <c r="B59" s="63">
        <f>IFERROR(SUM(F2+D39+D57+F10+F11+B13*表!G19)*0.0098,"")</f>
        <v>0.76982792441957193</v>
      </c>
      <c r="C59" s="38" t="s">
        <v>48</v>
      </c>
      <c r="D59" s="183" t="str">
        <f>IF(B3&gt;B59,"OK","NG")</f>
        <v>NG</v>
      </c>
      <c r="E59" s="183"/>
      <c r="H59" s="10"/>
    </row>
    <row r="60" spans="1:8" ht="13.5" customHeight="1" thickTop="1" thickBot="1">
      <c r="A60" s="180" t="s">
        <v>50</v>
      </c>
      <c r="B60" s="188">
        <f>MAX(E14:E56)</f>
        <v>4.5203770818999862</v>
      </c>
      <c r="C60" s="182" t="s">
        <v>51</v>
      </c>
      <c r="D60" s="184" t="str">
        <f>IF(B60&lt;=2,"2m/sec以内で問題なし","NG　　　　　　　　　　　　　　　　　　　　　　ウォータハンマの恐れあり")</f>
        <v>NG　　　　　　　　　　　　　　　　　　　　　　ウォータハンマの恐れあり</v>
      </c>
      <c r="E60" s="185"/>
      <c r="H60" s="10"/>
    </row>
    <row r="61" spans="1:8" ht="15" thickTop="1" thickBot="1">
      <c r="A61" s="180"/>
      <c r="B61" s="188"/>
      <c r="C61" s="182"/>
      <c r="D61" s="186"/>
      <c r="E61" s="187"/>
      <c r="H61" s="10"/>
    </row>
    <row r="62" spans="1:8" ht="14.25" thickTop="1">
      <c r="H62" s="10"/>
    </row>
  </sheetData>
  <sheetProtection algorithmName="SHA-512" hashValue="Rzp6x6pvGjsC/8HR3xQCXo9JgL65/KwP9Wihc7rSQGI9TyKwlhXo+wUIZ3F1KOOWGhPIJ3Yb6OV8HtpXldfRxg==" saltValue="TD12qPwYp5LMKHtr/Pvp/Q==" spinCount="100000" sheet="1" objects="1" scenarios="1"/>
  <mergeCells count="6">
    <mergeCell ref="D1:E1"/>
    <mergeCell ref="D59:E59"/>
    <mergeCell ref="A60:A61"/>
    <mergeCell ref="B60:B61"/>
    <mergeCell ref="C60:C61"/>
    <mergeCell ref="D60:E61"/>
  </mergeCells>
  <phoneticPr fontId="1"/>
  <conditionalFormatting sqref="E14:E34">
    <cfRule type="cellIs" dxfId="192" priority="56" operator="greaterThan">
      <formula>2</formula>
    </cfRule>
  </conditionalFormatting>
  <conditionalFormatting sqref="B31:B38">
    <cfRule type="expression" dxfId="191" priority="55">
      <formula>$B$9&gt;=30</formula>
    </cfRule>
  </conditionalFormatting>
  <conditionalFormatting sqref="B26:B30">
    <cfRule type="expression" dxfId="190" priority="54">
      <formula>$B$9&gt;=25</formula>
    </cfRule>
  </conditionalFormatting>
  <conditionalFormatting sqref="B22:B25">
    <cfRule type="expression" dxfId="189" priority="53">
      <formula>$B$9&gt;=20</formula>
    </cfRule>
  </conditionalFormatting>
  <conditionalFormatting sqref="B18:B21">
    <cfRule type="expression" dxfId="188" priority="52">
      <formula>$B$9&gt;=20</formula>
    </cfRule>
  </conditionalFormatting>
  <conditionalFormatting sqref="B14:B17">
    <cfRule type="expression" dxfId="187" priority="51">
      <formula>$B$9&gt;=13</formula>
    </cfRule>
  </conditionalFormatting>
  <conditionalFormatting sqref="B17">
    <cfRule type="expression" dxfId="186" priority="50">
      <formula>$B$6&lt;3</formula>
    </cfRule>
  </conditionalFormatting>
  <conditionalFormatting sqref="B16">
    <cfRule type="expression" dxfId="185" priority="49">
      <formula>$B$6&lt;2</formula>
    </cfRule>
  </conditionalFormatting>
  <conditionalFormatting sqref="B21">
    <cfRule type="expression" dxfId="184" priority="48">
      <formula>$B$6&lt;3</formula>
    </cfRule>
  </conditionalFormatting>
  <conditionalFormatting sqref="B20">
    <cfRule type="expression" dxfId="183" priority="47">
      <formula>$B$6&lt;2</formula>
    </cfRule>
  </conditionalFormatting>
  <conditionalFormatting sqref="B25">
    <cfRule type="expression" dxfId="182" priority="46">
      <formula>$B$6&lt;3</formula>
    </cfRule>
  </conditionalFormatting>
  <conditionalFormatting sqref="B24">
    <cfRule type="expression" priority="45">
      <formula>$B$6&lt;2</formula>
    </cfRule>
  </conditionalFormatting>
  <conditionalFormatting sqref="B30">
    <cfRule type="expression" priority="44">
      <formula>$B$6&lt;4</formula>
    </cfRule>
  </conditionalFormatting>
  <conditionalFormatting sqref="B29">
    <cfRule type="expression" priority="43">
      <formula>$B$6&lt;3</formula>
    </cfRule>
  </conditionalFormatting>
  <conditionalFormatting sqref="B28">
    <cfRule type="expression" dxfId="181" priority="42">
      <formula>$B$6&lt;2</formula>
    </cfRule>
  </conditionalFormatting>
  <conditionalFormatting sqref="B38">
    <cfRule type="expression" priority="41">
      <formula>$B$6&lt;7</formula>
    </cfRule>
  </conditionalFormatting>
  <conditionalFormatting sqref="B37">
    <cfRule type="expression" priority="40">
      <formula>$B$6&lt;6</formula>
    </cfRule>
  </conditionalFormatting>
  <conditionalFormatting sqref="B36">
    <cfRule type="expression" priority="39">
      <formula>$B$6&lt;5</formula>
    </cfRule>
  </conditionalFormatting>
  <conditionalFormatting sqref="B35">
    <cfRule type="expression" priority="38">
      <formula>$B$6&lt;4</formula>
    </cfRule>
  </conditionalFormatting>
  <conditionalFormatting sqref="B34">
    <cfRule type="expression" priority="37">
      <formula>$B$6&lt;3</formula>
    </cfRule>
  </conditionalFormatting>
  <conditionalFormatting sqref="B33">
    <cfRule type="expression" priority="36">
      <formula>$B$6&lt;2</formula>
    </cfRule>
  </conditionalFormatting>
  <conditionalFormatting sqref="D15:E15">
    <cfRule type="expression" dxfId="180" priority="35">
      <formula>$B$15&gt;0</formula>
    </cfRule>
  </conditionalFormatting>
  <conditionalFormatting sqref="D16:E16">
    <cfRule type="expression" dxfId="179" priority="34">
      <formula>$B$16&gt;0</formula>
    </cfRule>
  </conditionalFormatting>
  <conditionalFormatting sqref="D17:E17">
    <cfRule type="expression" dxfId="178" priority="33">
      <formula>$B$17&gt;0</formula>
    </cfRule>
  </conditionalFormatting>
  <conditionalFormatting sqref="D19:E19">
    <cfRule type="expression" dxfId="177" priority="32">
      <formula>$B$19&gt;0</formula>
    </cfRule>
  </conditionalFormatting>
  <conditionalFormatting sqref="D20:E20">
    <cfRule type="expression" dxfId="176" priority="31">
      <formula>$B$20&gt;0</formula>
    </cfRule>
  </conditionalFormatting>
  <conditionalFormatting sqref="D21:E21">
    <cfRule type="expression" dxfId="175" priority="30">
      <formula>$B$21&gt;0</formula>
    </cfRule>
  </conditionalFormatting>
  <conditionalFormatting sqref="D23:E23">
    <cfRule type="expression" dxfId="174" priority="29">
      <formula>$B$23&gt;0</formula>
    </cfRule>
  </conditionalFormatting>
  <conditionalFormatting sqref="D24:E24">
    <cfRule type="expression" dxfId="173" priority="28">
      <formula>$B$24&gt;0</formula>
    </cfRule>
  </conditionalFormatting>
  <conditionalFormatting sqref="D25:E25">
    <cfRule type="expression" dxfId="172" priority="27">
      <formula>$B$25&gt;0</formula>
    </cfRule>
  </conditionalFormatting>
  <conditionalFormatting sqref="D27:E27">
    <cfRule type="expression" dxfId="171" priority="26">
      <formula>$B$27&gt;0</formula>
    </cfRule>
  </conditionalFormatting>
  <conditionalFormatting sqref="D28:E28">
    <cfRule type="expression" dxfId="170" priority="25">
      <formula>$B$28&gt;0</formula>
    </cfRule>
  </conditionalFormatting>
  <conditionalFormatting sqref="D29:E29">
    <cfRule type="expression" dxfId="169" priority="24">
      <formula>$B$29&gt;0</formula>
    </cfRule>
  </conditionalFormatting>
  <conditionalFormatting sqref="D30:E30">
    <cfRule type="expression" dxfId="168" priority="23">
      <formula>$B$30&gt;0</formula>
    </cfRule>
  </conditionalFormatting>
  <conditionalFormatting sqref="D32:E32">
    <cfRule type="expression" dxfId="167" priority="22">
      <formula>$B$32&gt;0</formula>
    </cfRule>
  </conditionalFormatting>
  <conditionalFormatting sqref="D33:E33">
    <cfRule type="expression" dxfId="166" priority="21">
      <formula>$B$33&gt;0</formula>
    </cfRule>
  </conditionalFormatting>
  <conditionalFormatting sqref="D34:E34">
    <cfRule type="expression" dxfId="165" priority="20">
      <formula>$B$34&gt;0</formula>
    </cfRule>
  </conditionalFormatting>
  <conditionalFormatting sqref="D35:E35">
    <cfRule type="expression" dxfId="164" priority="19">
      <formula>$B$35&gt;0</formula>
    </cfRule>
  </conditionalFormatting>
  <conditionalFormatting sqref="D36:E36">
    <cfRule type="expression" dxfId="163" priority="18">
      <formula>$B$36&gt;0</formula>
    </cfRule>
  </conditionalFormatting>
  <conditionalFormatting sqref="D37:E37">
    <cfRule type="expression" dxfId="162" priority="17">
      <formula>$B$37&gt;0</formula>
    </cfRule>
  </conditionalFormatting>
  <conditionalFormatting sqref="D38:E38">
    <cfRule type="expression" dxfId="161" priority="16">
      <formula>$B$38&gt;0</formula>
    </cfRule>
  </conditionalFormatting>
  <conditionalFormatting sqref="D42:E42 E43">
    <cfRule type="expression" dxfId="160" priority="15">
      <formula>$C$42&gt;0</formula>
    </cfRule>
  </conditionalFormatting>
  <conditionalFormatting sqref="D43:E44">
    <cfRule type="expression" dxfId="159" priority="14">
      <formula>$C$44&gt;0</formula>
    </cfRule>
  </conditionalFormatting>
  <conditionalFormatting sqref="D45:E45">
    <cfRule type="expression" dxfId="158" priority="13">
      <formula>$C$45&gt;0</formula>
    </cfRule>
  </conditionalFormatting>
  <conditionalFormatting sqref="D46:E46">
    <cfRule type="expression" dxfId="157" priority="12">
      <formula>$C$46&gt;0</formula>
    </cfRule>
  </conditionalFormatting>
  <conditionalFormatting sqref="D47:E47">
    <cfRule type="expression" dxfId="156" priority="11">
      <formula>$C$47&gt;0</formula>
    </cfRule>
  </conditionalFormatting>
  <conditionalFormatting sqref="D48:E48">
    <cfRule type="expression" dxfId="155" priority="10">
      <formula>$C$48&gt;0</formula>
    </cfRule>
  </conditionalFormatting>
  <conditionalFormatting sqref="D49:E49">
    <cfRule type="expression" dxfId="154" priority="9">
      <formula>$C$49&gt;0</formula>
    </cfRule>
  </conditionalFormatting>
  <conditionalFormatting sqref="D50:E50">
    <cfRule type="expression" dxfId="153" priority="8">
      <formula>$C$50&gt;0</formula>
    </cfRule>
  </conditionalFormatting>
  <conditionalFormatting sqref="D51:E51">
    <cfRule type="expression" dxfId="152" priority="7">
      <formula>$C$51&gt;0</formula>
    </cfRule>
  </conditionalFormatting>
  <conditionalFormatting sqref="D52:E52">
    <cfRule type="expression" dxfId="151" priority="6">
      <formula>$C$52&gt;0</formula>
    </cfRule>
  </conditionalFormatting>
  <conditionalFormatting sqref="D53:E53">
    <cfRule type="expression" dxfId="150" priority="5">
      <formula>$C$53&gt;0</formula>
    </cfRule>
  </conditionalFormatting>
  <conditionalFormatting sqref="D54:E54">
    <cfRule type="expression" dxfId="149" priority="4">
      <formula>$C$54&gt;0</formula>
    </cfRule>
  </conditionalFormatting>
  <conditionalFormatting sqref="D55:E55">
    <cfRule type="expression" dxfId="148" priority="3">
      <formula>$C$55&gt;0</formula>
    </cfRule>
  </conditionalFormatting>
  <conditionalFormatting sqref="D56:E56">
    <cfRule type="expression" dxfId="147" priority="2">
      <formula>$C$56&gt;0</formula>
    </cfRule>
  </conditionalFormatting>
  <conditionalFormatting sqref="E42:E56">
    <cfRule type="cellIs" dxfId="146" priority="1" operator="greaterThan">
      <formula>2</formula>
    </cfRule>
  </conditionalFormatting>
  <printOptions horizontalCentered="1" verticalCentered="1"/>
  <pageMargins left="0.70866141732283472" right="0.70866141732283472" top="0.74803149606299213" bottom="0.74803149606299213" header="0.31496062992125984" footer="0.31496062992125984"/>
  <pageSetup paperSize="8"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'直管換算表（参考）'!$C$4:$I$4</xm:f>
          </x14:formula1>
          <xm:sqref>B9 B42:B56</xm:sqref>
        </x14:dataValidation>
        <x14:dataValidation type="list" allowBlank="1" showInputMessage="1" showErrorMessage="1">
          <x14:formula1>
            <xm:f>'直管換算表（参考）'!$B$34:$B$36</xm:f>
          </x14:formula1>
          <xm:sqref>B10</xm:sqref>
        </x14:dataValidation>
        <x14:dataValidation type="list" allowBlank="1" showInputMessage="1" showErrorMessage="1">
          <x14:formula1>
            <xm:f>表!$E$19:$E$20</xm:f>
          </x14:formula1>
          <xm:sqref>B11</xm:sqref>
        </x14:dataValidation>
        <x14:dataValidation type="list" allowBlank="1" showInputMessage="1" showErrorMessage="1">
          <x14:formula1>
            <xm:f>表!$E$23:$E$25</xm:f>
          </x14:formula1>
          <xm:sqref>B2</xm:sqref>
        </x14:dataValidation>
        <x14:dataValidation type="list" allowBlank="1" showInputMessage="1" showErrorMessage="1">
          <x14:formula1>
            <xm:f>表!$E$3:$E$8</xm:f>
          </x14:formula1>
          <xm:sqref>C42:C56</xm:sqref>
        </x14:dataValidation>
        <x14:dataValidation type="list" allowBlank="1" showInputMessage="1" showErrorMessage="1">
          <x14:formula1>
            <xm:f>'直管換算表（参考）'!$B$5:$B$19</xm:f>
          </x14:formula1>
          <xm:sqref>A42:A52</xm:sqref>
        </x14:dataValidation>
        <x14:dataValidation type="list" allowBlank="1" showInputMessage="1" showErrorMessage="1">
          <x14:formula1>
            <xm:f>'直管換算表（参考）'!$B$7:$B$26</xm:f>
          </x14:formula1>
          <xm:sqref>A53:A56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I79"/>
  <sheetViews>
    <sheetView zoomScaleNormal="100" workbookViewId="0">
      <selection activeCell="F5" sqref="F5"/>
    </sheetView>
  </sheetViews>
  <sheetFormatPr defaultRowHeight="13.5"/>
  <cols>
    <col min="1" max="2" width="15.625" customWidth="1"/>
    <col min="3" max="3" width="10.625" style="11" customWidth="1"/>
    <col min="4" max="4" width="15.625" customWidth="1"/>
    <col min="5" max="6" width="8.125" customWidth="1"/>
    <col min="7" max="7" width="8.125" hidden="1" customWidth="1"/>
    <col min="8" max="8" width="9" hidden="1" customWidth="1"/>
    <col min="9" max="9" width="11.75" hidden="1" customWidth="1"/>
    <col min="10" max="10" width="9" customWidth="1"/>
  </cols>
  <sheetData>
    <row r="1" spans="1:9" ht="20.100000000000001" customHeight="1" thickBot="1">
      <c r="A1" s="155"/>
      <c r="B1" s="65" t="s">
        <v>83</v>
      </c>
      <c r="D1" s="179" t="s">
        <v>106</v>
      </c>
      <c r="E1" s="179"/>
      <c r="F1" s="179"/>
    </row>
    <row r="2" spans="1:9">
      <c r="A2" s="84" t="s">
        <v>45</v>
      </c>
      <c r="B2" s="85"/>
      <c r="C2" s="86" t="s">
        <v>46</v>
      </c>
      <c r="H2" s="20" t="e">
        <f>VLOOKUP(B2,表!E23:F25,2,0)</f>
        <v>#N/A</v>
      </c>
    </row>
    <row r="3" spans="1:9" ht="14.25" thickBot="1">
      <c r="A3" s="87" t="s">
        <v>47</v>
      </c>
      <c r="B3" s="60"/>
      <c r="C3" s="88" t="s">
        <v>48</v>
      </c>
      <c r="E3" t="s">
        <v>105</v>
      </c>
    </row>
    <row r="4" spans="1:9" ht="14.25" thickBot="1">
      <c r="A4" s="89" t="s">
        <v>43</v>
      </c>
      <c r="B4" s="90"/>
      <c r="C4" s="91" t="s">
        <v>41</v>
      </c>
      <c r="E4" s="150" t="s">
        <v>103</v>
      </c>
      <c r="F4" s="151" t="s">
        <v>104</v>
      </c>
      <c r="G4" s="147"/>
    </row>
    <row r="5" spans="1:9">
      <c r="A5" s="25" t="s">
        <v>44</v>
      </c>
      <c r="B5" s="178" t="str">
        <f>IFERROR(VLOOKUP(B4,表!B3:C32,2,FALSE),"")</f>
        <v/>
      </c>
      <c r="C5" s="26" t="s">
        <v>42</v>
      </c>
      <c r="E5" s="87">
        <v>1</v>
      </c>
      <c r="F5" s="156"/>
      <c r="G5" s="148" t="str">
        <f>IF(ISBLANK(F5),"",SUM(F5))</f>
        <v/>
      </c>
    </row>
    <row r="6" spans="1:9" ht="14.25" thickBot="1">
      <c r="A6" s="25" t="s">
        <v>66</v>
      </c>
      <c r="B6" s="178" t="str">
        <f>IF(ISBLANK(F5),"",IF(G9&lt;=13,13,IF(G9&lt;=20,20,IF(G9&lt;=25,25,IF(G9&lt;=30,30,IF(G9&lt;=40,40,50))))))</f>
        <v/>
      </c>
      <c r="C6" s="26" t="s">
        <v>56</v>
      </c>
      <c r="E6" s="87">
        <v>2</v>
      </c>
      <c r="F6" s="156"/>
      <c r="G6" s="148" t="str">
        <f>IF(ISBLANK(F6),"",SUM(F5:F6))</f>
        <v/>
      </c>
    </row>
    <row r="7" spans="1:9" ht="14.25" thickBot="1">
      <c r="A7" s="84" t="s">
        <v>67</v>
      </c>
      <c r="B7" s="110"/>
      <c r="C7" s="109" t="s">
        <v>40</v>
      </c>
      <c r="D7" s="108"/>
      <c r="E7" s="87">
        <v>3</v>
      </c>
      <c r="F7" s="156"/>
      <c r="G7" s="148" t="str">
        <f>IF(ISBLANK(F7),"",SUM(F5:F7))</f>
        <v/>
      </c>
    </row>
    <row r="8" spans="1:9">
      <c r="A8" s="112" t="s">
        <v>65</v>
      </c>
      <c r="B8" s="106"/>
      <c r="C8" s="107"/>
      <c r="D8" s="2"/>
      <c r="E8" s="87">
        <v>4</v>
      </c>
      <c r="F8" s="156"/>
      <c r="G8" s="148" t="str">
        <f>IF(ISBLANK(F8),"",SUM(F5:F8))</f>
        <v/>
      </c>
      <c r="H8" s="20" t="e">
        <f>VLOOKUP(B8,'直管換算表（参考）'!$B$34:$D$36,2,0)</f>
        <v>#N/A</v>
      </c>
    </row>
    <row r="9" spans="1:9" ht="14.25" thickBot="1">
      <c r="A9" s="113" t="s">
        <v>53</v>
      </c>
      <c r="B9" s="105"/>
      <c r="C9" s="2"/>
      <c r="D9" s="2"/>
      <c r="E9" s="113" t="s">
        <v>102</v>
      </c>
      <c r="F9" s="152">
        <f>SUM(F5:F8)</f>
        <v>0</v>
      </c>
      <c r="G9" s="148">
        <f>1000*(2*((F9/1000/60)/PI()))^(1/2)</f>
        <v>0</v>
      </c>
      <c r="H9" s="20">
        <f>IF(B9="有",1,0)</f>
        <v>0</v>
      </c>
    </row>
    <row r="10" spans="1:9" ht="5.0999999999999996" customHeight="1" thickBot="1">
      <c r="B10" s="11"/>
      <c r="C10"/>
    </row>
    <row r="11" spans="1:9" ht="40.5" customHeight="1">
      <c r="A11" s="73" t="s">
        <v>68</v>
      </c>
      <c r="B11" s="74"/>
      <c r="C11" s="75" t="s">
        <v>3</v>
      </c>
      <c r="D11" s="141" t="s">
        <v>1</v>
      </c>
      <c r="E11" s="191" t="s">
        <v>82</v>
      </c>
      <c r="F11" s="192"/>
      <c r="G11" s="4"/>
      <c r="H11" s="32" t="s">
        <v>73</v>
      </c>
      <c r="I11" s="17" t="s">
        <v>0</v>
      </c>
    </row>
    <row r="12" spans="1:9">
      <c r="A12" s="76">
        <v>13</v>
      </c>
      <c r="B12" s="59"/>
      <c r="C12" s="77" t="s">
        <v>3</v>
      </c>
      <c r="D12" s="158"/>
      <c r="E12" s="193"/>
      <c r="F12" s="194"/>
      <c r="G12" s="143"/>
    </row>
    <row r="13" spans="1:9">
      <c r="A13" s="78" t="s">
        <v>58</v>
      </c>
      <c r="B13" s="42"/>
      <c r="C13" s="79" t="s">
        <v>3</v>
      </c>
      <c r="D13" s="160" t="str">
        <f>IF(ISBLANK(B13),"",IFERROR(((0.0126+(0.01739-0.1087*(H13/1000))/SQRT(E13))*B13/(H13/1000)*E13^2/(2*9.8)),"　"))</f>
        <v/>
      </c>
      <c r="E13" s="195" t="str">
        <f>IF(ISBLANK(B13),"",IFERROR((I13/1000/60)/((H13/1000)^2*PI()/4),"  "))</f>
        <v/>
      </c>
      <c r="F13" s="196"/>
      <c r="G13" s="144"/>
      <c r="H13" s="33">
        <f>$A$12</f>
        <v>13</v>
      </c>
      <c r="I13" s="20" t="str">
        <f>G5</f>
        <v/>
      </c>
    </row>
    <row r="14" spans="1:9">
      <c r="A14" s="78" t="s">
        <v>59</v>
      </c>
      <c r="B14" s="42"/>
      <c r="C14" s="79" t="s">
        <v>3</v>
      </c>
      <c r="D14" s="160" t="str">
        <f>IF(ISBLANK(B14),"",IFERROR(((0.0126+(0.01739-0.1087*(H14/1000))/SQRT(E14))*B14/(H14/1000)*E14^2/(2*9.8)),"　"))</f>
        <v/>
      </c>
      <c r="E14" s="195" t="str">
        <f>IF(ISBLANK(B14),"",IFERROR((I14/1000/60)/((H14/1000)^2*PI()/4),"  "))</f>
        <v/>
      </c>
      <c r="F14" s="196"/>
      <c r="G14" s="144"/>
      <c r="H14" s="33">
        <f>$A$12</f>
        <v>13</v>
      </c>
      <c r="I14" s="20" t="str">
        <f>G6</f>
        <v/>
      </c>
    </row>
    <row r="15" spans="1:9">
      <c r="A15" s="80" t="s">
        <v>60</v>
      </c>
      <c r="B15" s="43"/>
      <c r="C15" s="81" t="s">
        <v>3</v>
      </c>
      <c r="D15" s="162" t="str">
        <f>IF(ISBLANK(B15),"",IFERROR(((0.0126+(0.01739-0.1087*(H15/1000))/SQRT(E15))*B15/(H15/1000)*E15^2/(2*9.8)),"　"))</f>
        <v/>
      </c>
      <c r="E15" s="197" t="str">
        <f>IF(ISBLANK(B15),"",IFERROR((I15/1000/60)/((H15/1000)^2*PI()/4),"  "))</f>
        <v/>
      </c>
      <c r="F15" s="198"/>
      <c r="G15" s="144"/>
      <c r="H15" s="33">
        <f>$A$12</f>
        <v>13</v>
      </c>
      <c r="I15" s="20" t="str">
        <f>G7</f>
        <v/>
      </c>
    </row>
    <row r="16" spans="1:9">
      <c r="A16" s="76">
        <v>16</v>
      </c>
      <c r="B16" s="59"/>
      <c r="C16" s="77" t="s">
        <v>3</v>
      </c>
      <c r="D16" s="158"/>
      <c r="E16" s="193"/>
      <c r="F16" s="194"/>
      <c r="G16" s="144"/>
      <c r="H16" s="34"/>
    </row>
    <row r="17" spans="1:9">
      <c r="A17" s="78" t="s">
        <v>58</v>
      </c>
      <c r="B17" s="42"/>
      <c r="C17" s="79" t="s">
        <v>3</v>
      </c>
      <c r="D17" s="160" t="str">
        <f>IF(ISBLANK(B17),"",IFERROR(((0.0126+(0.01739-0.1087*(H17/1000))/SQRT(E17))*B17/(H17/1000)*E17^2/(2*9.8)),"　"))</f>
        <v/>
      </c>
      <c r="E17" s="195" t="str">
        <f>IF(ISBLANK(B17),"",IFERROR((I17/1000/60)/((H17/1000)^2*PI()/4),"  "))</f>
        <v/>
      </c>
      <c r="F17" s="196"/>
      <c r="G17" s="144"/>
      <c r="H17" s="33">
        <f>$A$16</f>
        <v>16</v>
      </c>
      <c r="I17" s="20" t="str">
        <f>G5</f>
        <v/>
      </c>
    </row>
    <row r="18" spans="1:9">
      <c r="A18" s="78" t="s">
        <v>59</v>
      </c>
      <c r="B18" s="42"/>
      <c r="C18" s="79" t="s">
        <v>3</v>
      </c>
      <c r="D18" s="160" t="str">
        <f>IF(ISBLANK(B18),"",IFERROR(((0.0126+(0.01739-0.1087*(H18/1000))/SQRT(E18))*B18/(H18/1000)*E18^2/(2*9.8)),"　"))</f>
        <v/>
      </c>
      <c r="E18" s="195" t="str">
        <f>IF(ISBLANK(B18),"",IFERROR((I18/1000/60)/((H18/1000)^2*PI()/4),"  "))</f>
        <v/>
      </c>
      <c r="F18" s="196"/>
      <c r="G18" s="144"/>
      <c r="H18" s="33">
        <f>$A$16</f>
        <v>16</v>
      </c>
      <c r="I18" s="20" t="str">
        <f>G6</f>
        <v/>
      </c>
    </row>
    <row r="19" spans="1:9">
      <c r="A19" s="80" t="s">
        <v>60</v>
      </c>
      <c r="B19" s="43"/>
      <c r="C19" s="81" t="s">
        <v>3</v>
      </c>
      <c r="D19" s="162" t="str">
        <f>IF(ISBLANK(B19),"",IFERROR(((0.0126+(0.01739-0.1087*(H19/1000))/SQRT(E19))*B19/(H19/1000)*E19^2/(2*9.8)),"　"))</f>
        <v/>
      </c>
      <c r="E19" s="197" t="str">
        <f>IF(ISBLANK(B19),"",IFERROR((I19/1000/60)/((H19/1000)^2*PI()/4),"  "))</f>
        <v/>
      </c>
      <c r="F19" s="198"/>
      <c r="G19" s="144"/>
      <c r="H19" s="33">
        <f>$A$16</f>
        <v>16</v>
      </c>
      <c r="I19" s="20" t="str">
        <f>G7</f>
        <v/>
      </c>
    </row>
    <row r="20" spans="1:9">
      <c r="A20" s="76">
        <v>20</v>
      </c>
      <c r="B20" s="59"/>
      <c r="C20" s="77" t="s">
        <v>3</v>
      </c>
      <c r="D20" s="158"/>
      <c r="E20" s="199"/>
      <c r="F20" s="200"/>
      <c r="G20" s="144"/>
      <c r="H20" s="34"/>
    </row>
    <row r="21" spans="1:9">
      <c r="A21" s="78" t="s">
        <v>58</v>
      </c>
      <c r="B21" s="42"/>
      <c r="C21" s="79" t="s">
        <v>3</v>
      </c>
      <c r="D21" s="160" t="str">
        <f>IF(ISBLANK(B21),"",IFERROR(((0.0126+(0.01739-0.1087*(H21/1000))/SQRT(E21))*B21/(H21/1000)*E21^2/(2*9.8)),"　"))</f>
        <v/>
      </c>
      <c r="E21" s="189" t="str">
        <f>IF(ISBLANK(B21),"",IFERROR((I21/1000/60)/((H21/1000)^2*PI()/4),"  "))</f>
        <v/>
      </c>
      <c r="F21" s="190"/>
      <c r="G21" s="144"/>
      <c r="H21" s="33">
        <f>$A$20</f>
        <v>20</v>
      </c>
      <c r="I21" s="20" t="str">
        <f>G5</f>
        <v/>
      </c>
    </row>
    <row r="22" spans="1:9">
      <c r="A22" s="78" t="s">
        <v>59</v>
      </c>
      <c r="B22" s="42"/>
      <c r="C22" s="79" t="s">
        <v>3</v>
      </c>
      <c r="D22" s="160" t="str">
        <f>IF(ISBLANK(B22),"",IFERROR(((0.0126+(0.01739-0.1087*(H22/1000))/SQRT(E22))*B22/(H22/1000)*E22^2/(2*9.8)),"　"))</f>
        <v/>
      </c>
      <c r="E22" s="201" t="str">
        <f>IF(ISBLANK(B22),"",IFERROR((I22/1000/60)/((H22/1000)^2*PI()/4),"  "))</f>
        <v/>
      </c>
      <c r="F22" s="202"/>
      <c r="G22" s="144"/>
      <c r="H22" s="33">
        <f>$A$20</f>
        <v>20</v>
      </c>
      <c r="I22" s="20" t="str">
        <f>G6</f>
        <v/>
      </c>
    </row>
    <row r="23" spans="1:9">
      <c r="A23" s="80" t="s">
        <v>60</v>
      </c>
      <c r="B23" s="43"/>
      <c r="C23" s="81" t="s">
        <v>3</v>
      </c>
      <c r="D23" s="162" t="str">
        <f>IF(ISBLANK(B23),"",IFERROR(((0.0126+(0.01739-0.1087*(H23/1000))/SQRT(E23))*B23/(H23/1000)*E23^2/(2*9.8)),"　"))</f>
        <v/>
      </c>
      <c r="E23" s="197" t="str">
        <f>IF(ISBLANK(B23),"",IFERROR((I23/1000/60)/((H23/1000)^2*PI()/4),"  "))</f>
        <v/>
      </c>
      <c r="F23" s="198"/>
      <c r="G23" s="144"/>
      <c r="H23" s="33">
        <f>$A$20</f>
        <v>20</v>
      </c>
      <c r="I23" s="20" t="str">
        <f>G7</f>
        <v/>
      </c>
    </row>
    <row r="24" spans="1:9">
      <c r="A24" s="76">
        <v>25</v>
      </c>
      <c r="B24" s="59"/>
      <c r="C24" s="77" t="s">
        <v>3</v>
      </c>
      <c r="D24" s="158"/>
      <c r="E24" s="193"/>
      <c r="F24" s="194"/>
      <c r="G24" s="144"/>
      <c r="H24" s="34"/>
    </row>
    <row r="25" spans="1:9">
      <c r="A25" s="78" t="s">
        <v>58</v>
      </c>
      <c r="B25" s="42"/>
      <c r="C25" s="79" t="s">
        <v>3</v>
      </c>
      <c r="D25" s="160" t="str">
        <f>IF(ISBLANK(B25),"",IFERROR(((0.0126+(0.01739-0.1087*(H25/1000))/SQRT(E25))*B25/(H25/1000)*E25^2/(2*9.8)),"　"))</f>
        <v/>
      </c>
      <c r="E25" s="189" t="str">
        <f>IF(ISBLANK(B25),"",IFERROR((I25/1000/60)/((H25/1000)^2*PI()/4),"  "))</f>
        <v/>
      </c>
      <c r="F25" s="190"/>
      <c r="G25" s="144"/>
      <c r="H25" s="33">
        <f>$A$24</f>
        <v>25</v>
      </c>
      <c r="I25" s="20" t="str">
        <f>G5</f>
        <v/>
      </c>
    </row>
    <row r="26" spans="1:9">
      <c r="A26" s="78" t="s">
        <v>59</v>
      </c>
      <c r="B26" s="42"/>
      <c r="C26" s="79" t="s">
        <v>3</v>
      </c>
      <c r="D26" s="160" t="str">
        <f>IF(ISBLANK(B26),"",IFERROR(((0.0126+(0.01739-0.1087*(H26/1000))/SQRT(E26))*B26/(H26/1000)*E26^2/(2*9.8)),"　"))</f>
        <v/>
      </c>
      <c r="E26" s="201" t="str">
        <f>IF(ISBLANK(B26),"",IFERROR((I26/1000/60)/((H26/1000)^2*PI()/4),"  "))</f>
        <v/>
      </c>
      <c r="F26" s="202"/>
      <c r="G26" s="144"/>
      <c r="H26" s="33">
        <f>$A$24</f>
        <v>25</v>
      </c>
      <c r="I26" s="20" t="str">
        <f>G6</f>
        <v/>
      </c>
    </row>
    <row r="27" spans="1:9">
      <c r="A27" s="137" t="s">
        <v>60</v>
      </c>
      <c r="B27" s="42"/>
      <c r="C27" s="79" t="s">
        <v>3</v>
      </c>
      <c r="D27" s="173" t="str">
        <f>IF(ISBLANK(B27),"",IFERROR(((0.0126+(0.01739-0.1087*(H27/1000))/SQRT(E27))*B27/(H27/1000)*E27^2/(2*9.8)),"　"))</f>
        <v/>
      </c>
      <c r="E27" s="189" t="str">
        <f>IF(ISBLANK(B27),"",IFERROR((I27/1000/60)/((H27/1000)^2*PI()/4),"  "))</f>
        <v/>
      </c>
      <c r="F27" s="190"/>
      <c r="G27" s="144"/>
      <c r="H27" s="33">
        <f>$A$24</f>
        <v>25</v>
      </c>
      <c r="I27" s="20" t="str">
        <f>G7</f>
        <v/>
      </c>
    </row>
    <row r="28" spans="1:9">
      <c r="A28" s="138" t="s">
        <v>78</v>
      </c>
      <c r="B28" s="45"/>
      <c r="C28" s="139" t="s">
        <v>3</v>
      </c>
      <c r="D28" s="166" t="str">
        <f>IF(ISBLANK(B28),"",IFERROR(((0.0126+(0.01739-0.1087*(H28/1000))/SQRT(E28))*B28/(H28/1000)*E28^2/(2*9.8)),"　"))</f>
        <v/>
      </c>
      <c r="E28" s="203" t="str">
        <f>IF(ISBLANK(B28),"",IFERROR((I28/1000/60)/((H28/1000)^2*PI()/4),"  "))</f>
        <v/>
      </c>
      <c r="F28" s="204"/>
      <c r="G28" s="144"/>
      <c r="H28" s="33">
        <f>$A$24</f>
        <v>25</v>
      </c>
      <c r="I28" s="20" t="str">
        <f>G8</f>
        <v/>
      </c>
    </row>
    <row r="29" spans="1:9">
      <c r="A29" s="76">
        <v>30</v>
      </c>
      <c r="B29" s="59"/>
      <c r="C29" s="77" t="s">
        <v>3</v>
      </c>
      <c r="D29" s="158"/>
      <c r="E29" s="201"/>
      <c r="F29" s="202"/>
      <c r="G29" s="144"/>
      <c r="H29" s="34"/>
    </row>
    <row r="30" spans="1:9">
      <c r="A30" s="78" t="s">
        <v>58</v>
      </c>
      <c r="B30" s="42"/>
      <c r="C30" s="79" t="s">
        <v>3</v>
      </c>
      <c r="D30" s="160" t="str">
        <f t="shared" ref="D30:D36" si="0">IF(ISBLANK(B30),"",IFERROR(((0.0126+(0.01739-0.1087*(H30/1000))/SQRT(E30))*B30/(H30/1000)*E30^2/(2*9.8)),"　"))</f>
        <v/>
      </c>
      <c r="E30" s="189" t="str">
        <f t="shared" ref="E30:E36" si="1">IF(ISBLANK(B30),"",IFERROR((I30/1000/60)/((H30/1000)^2*PI()/4),"  "))</f>
        <v/>
      </c>
      <c r="F30" s="190"/>
      <c r="G30" s="144"/>
      <c r="H30" s="33">
        <f t="shared" ref="H30:H36" si="2">$A$29</f>
        <v>30</v>
      </c>
      <c r="I30" s="20" t="str">
        <f>G5</f>
        <v/>
      </c>
    </row>
    <row r="31" spans="1:9">
      <c r="A31" s="78" t="s">
        <v>59</v>
      </c>
      <c r="B31" s="42"/>
      <c r="C31" s="79" t="s">
        <v>3</v>
      </c>
      <c r="D31" s="160" t="str">
        <f t="shared" si="0"/>
        <v/>
      </c>
      <c r="E31" s="189" t="str">
        <f t="shared" si="1"/>
        <v/>
      </c>
      <c r="F31" s="190"/>
      <c r="G31" s="144"/>
      <c r="H31" s="33">
        <f t="shared" si="2"/>
        <v>30</v>
      </c>
      <c r="I31" s="20" t="str">
        <f>G6</f>
        <v/>
      </c>
    </row>
    <row r="32" spans="1:9">
      <c r="A32" s="137" t="s">
        <v>60</v>
      </c>
      <c r="B32" s="42"/>
      <c r="C32" s="79" t="s">
        <v>3</v>
      </c>
      <c r="D32" s="174" t="str">
        <f t="shared" si="0"/>
        <v/>
      </c>
      <c r="E32" s="201" t="str">
        <f t="shared" si="1"/>
        <v/>
      </c>
      <c r="F32" s="202"/>
      <c r="G32" s="144"/>
      <c r="H32" s="33">
        <f t="shared" si="2"/>
        <v>30</v>
      </c>
      <c r="I32" s="20" t="str">
        <f>G7</f>
        <v/>
      </c>
    </row>
    <row r="33" spans="1:9" ht="14.25" thickBot="1">
      <c r="A33" s="146" t="s">
        <v>78</v>
      </c>
      <c r="B33" s="157"/>
      <c r="C33" s="145" t="s">
        <v>3</v>
      </c>
      <c r="D33" s="172" t="str">
        <f t="shared" si="0"/>
        <v/>
      </c>
      <c r="E33" s="197" t="str">
        <f t="shared" si="1"/>
        <v/>
      </c>
      <c r="F33" s="198"/>
      <c r="G33" s="144"/>
      <c r="H33" s="33">
        <f t="shared" si="2"/>
        <v>30</v>
      </c>
      <c r="I33" s="20" t="str">
        <f>G8</f>
        <v/>
      </c>
    </row>
    <row r="34" spans="1:9" hidden="1">
      <c r="A34" s="37" t="s">
        <v>79</v>
      </c>
      <c r="B34" s="45"/>
      <c r="C34" s="35" t="s">
        <v>3</v>
      </c>
      <c r="D34" s="159" t="str">
        <f t="shared" si="0"/>
        <v/>
      </c>
      <c r="E34" s="207" t="str">
        <f t="shared" si="1"/>
        <v/>
      </c>
      <c r="F34" s="208"/>
      <c r="G34" s="144"/>
      <c r="H34" s="33">
        <f t="shared" si="2"/>
        <v>30</v>
      </c>
      <c r="I34" s="20"/>
    </row>
    <row r="35" spans="1:9" hidden="1">
      <c r="A35" s="12" t="s">
        <v>80</v>
      </c>
      <c r="B35" s="46"/>
      <c r="C35" s="13" t="s">
        <v>3</v>
      </c>
      <c r="D35" s="169" t="str">
        <f t="shared" si="0"/>
        <v/>
      </c>
      <c r="E35" s="209" t="str">
        <f t="shared" si="1"/>
        <v/>
      </c>
      <c r="F35" s="210"/>
      <c r="G35" s="144"/>
      <c r="H35" s="33">
        <f t="shared" si="2"/>
        <v>30</v>
      </c>
      <c r="I35" s="20"/>
    </row>
    <row r="36" spans="1:9" ht="14.25" hidden="1" thickBot="1">
      <c r="A36" s="14" t="s">
        <v>81</v>
      </c>
      <c r="B36" s="43"/>
      <c r="C36" s="15" t="s">
        <v>3</v>
      </c>
      <c r="D36" s="170" t="str">
        <f t="shared" si="0"/>
        <v/>
      </c>
      <c r="E36" s="211" t="str">
        <f t="shared" si="1"/>
        <v/>
      </c>
      <c r="F36" s="212"/>
      <c r="G36" s="144"/>
      <c r="H36" s="33">
        <f t="shared" si="2"/>
        <v>30</v>
      </c>
      <c r="I36" s="20"/>
    </row>
    <row r="37" spans="1:9" ht="15" thickTop="1" thickBot="1">
      <c r="A37" s="2"/>
      <c r="B37" s="18"/>
      <c r="C37" s="2"/>
      <c r="D37" s="47">
        <f>SUM(D12:D36)</f>
        <v>0</v>
      </c>
      <c r="E37" s="41"/>
      <c r="F37" s="41"/>
      <c r="G37" s="41"/>
      <c r="H37" s="2"/>
      <c r="I37" s="2"/>
    </row>
    <row r="38" spans="1:9" ht="5.0999999999999996" customHeight="1" thickTop="1" thickBot="1">
      <c r="B38" s="11"/>
      <c r="C38"/>
      <c r="D38" s="29"/>
      <c r="E38" s="2"/>
      <c r="F38" s="2"/>
      <c r="G38" s="2"/>
    </row>
    <row r="39" spans="1:9" ht="40.5" customHeight="1">
      <c r="A39" s="93" t="s">
        <v>63</v>
      </c>
      <c r="B39" s="94" t="s">
        <v>85</v>
      </c>
      <c r="C39" s="95" t="s">
        <v>62</v>
      </c>
      <c r="D39" s="92" t="s">
        <v>1</v>
      </c>
      <c r="E39" s="191" t="s">
        <v>82</v>
      </c>
      <c r="F39" s="192"/>
      <c r="G39" s="4"/>
      <c r="H39" s="21" t="s">
        <v>57</v>
      </c>
      <c r="I39" s="17" t="s">
        <v>52</v>
      </c>
    </row>
    <row r="40" spans="1:9">
      <c r="A40" s="96"/>
      <c r="B40" s="22"/>
      <c r="C40" s="97"/>
      <c r="D40" s="158" t="str">
        <f>IFERROR(((0.0126+(0.01739-0.1087*(B40/1000))/SQRT(E40))*H40/(B40/1000)*E40^2/(2*9.8)),"　")</f>
        <v>　</v>
      </c>
      <c r="E40" s="213" t="str">
        <f t="shared" ref="E40:E73" si="3">IFERROR((I40/1000/60)/((B40/1000)^2*PI()/4),"  ")</f>
        <v xml:space="preserve">  </v>
      </c>
      <c r="F40" s="214"/>
      <c r="G40" s="144"/>
      <c r="H40" s="20" t="e">
        <f>INDEX('直管換算表（参考）'!$C$5:$I$26,MATCH(A40,'直管換算表（参考）'!$B$5:$B$26,0),MATCH(B40,'直管換算表（参考）'!$C$4:$I$4,0))</f>
        <v>#N/A</v>
      </c>
      <c r="I40" s="20" t="e">
        <f>VLOOKUP(C40,$E$5:$G$8,3,0)</f>
        <v>#N/A</v>
      </c>
    </row>
    <row r="41" spans="1:9">
      <c r="A41" s="98"/>
      <c r="B41" s="23"/>
      <c r="C41" s="99"/>
      <c r="D41" s="160" t="str">
        <f t="shared" ref="D41:D73" si="4">IFERROR(((0.0126+(0.01739-0.1087*(B41/1000))/SQRT(E41))*H41/(B41/1000)*E41^2/(2*9.8)),"　")</f>
        <v>　</v>
      </c>
      <c r="E41" s="205" t="str">
        <f>IFERROR((I41/1000/60)/((B41/1000)^2*PI()/4),"  ")</f>
        <v xml:space="preserve">  </v>
      </c>
      <c r="F41" s="206"/>
      <c r="G41" s="144"/>
      <c r="H41" s="20" t="e">
        <f>INDEX('直管換算表（参考）'!$C$5:$I$26,MATCH(A41,'直管換算表（参考）'!$B$5:$B$26,0),MATCH(B41,'直管換算表（参考）'!$C$4:$I$4,0))</f>
        <v>#N/A</v>
      </c>
      <c r="I41" s="20" t="e">
        <f t="shared" ref="I41:I73" si="5">VLOOKUP(C41,$E$5:$G$8,3,0)</f>
        <v>#N/A</v>
      </c>
    </row>
    <row r="42" spans="1:9">
      <c r="A42" s="98"/>
      <c r="B42" s="23"/>
      <c r="C42" s="99"/>
      <c r="D42" s="160" t="str">
        <f>IFERROR(((0.0126+(0.01739-0.1087*(B42/1000))/SQRT(E42))*H42/(B42/1000)*E42^2/(2*9.8)),"　")</f>
        <v>　</v>
      </c>
      <c r="E42" s="205" t="str">
        <f t="shared" si="3"/>
        <v xml:space="preserve">  </v>
      </c>
      <c r="F42" s="206"/>
      <c r="G42" s="144"/>
      <c r="H42" s="20" t="e">
        <f>INDEX('直管換算表（参考）'!$C$5:$I$26,MATCH(A42,'直管換算表（参考）'!$B$5:$B$26,0),MATCH(B42,'直管換算表（参考）'!$C$4:$I$4,0))</f>
        <v>#N/A</v>
      </c>
      <c r="I42" s="20" t="e">
        <f t="shared" si="5"/>
        <v>#N/A</v>
      </c>
    </row>
    <row r="43" spans="1:9">
      <c r="A43" s="98"/>
      <c r="B43" s="23"/>
      <c r="C43" s="99"/>
      <c r="D43" s="160" t="str">
        <f>IFERROR(((0.0126+(0.01739-0.1087*(B43/1000))/SQRT(E43))*H43/(B43/1000)*E43^2/(2*9.8)),"　")</f>
        <v>　</v>
      </c>
      <c r="E43" s="205" t="str">
        <f t="shared" si="3"/>
        <v xml:space="preserve">  </v>
      </c>
      <c r="F43" s="206"/>
      <c r="G43" s="144"/>
      <c r="H43" s="20" t="e">
        <f>INDEX('直管換算表（参考）'!$C$5:$I$26,MATCH(A43,'直管換算表（参考）'!$B$5:$B$26,0),MATCH(B43,'直管換算表（参考）'!$C$4:$I$4,0))</f>
        <v>#N/A</v>
      </c>
      <c r="I43" s="20" t="e">
        <f t="shared" si="5"/>
        <v>#N/A</v>
      </c>
    </row>
    <row r="44" spans="1:9">
      <c r="A44" s="98"/>
      <c r="B44" s="23"/>
      <c r="C44" s="99"/>
      <c r="D44" s="160" t="str">
        <f t="shared" si="4"/>
        <v>　</v>
      </c>
      <c r="E44" s="205" t="str">
        <f>IFERROR((I44/1000/60)/((B44/1000)^2*PI()/4),"  ")</f>
        <v xml:space="preserve">  </v>
      </c>
      <c r="F44" s="206"/>
      <c r="G44" s="144"/>
      <c r="H44" s="20" t="e">
        <f>INDEX('直管換算表（参考）'!$C$5:$I$26,MATCH(A44,'直管換算表（参考）'!$B$5:$B$26,0),MATCH(B44,'直管換算表（参考）'!$C$4:$I$4,0))</f>
        <v>#N/A</v>
      </c>
      <c r="I44" s="20" t="e">
        <f t="shared" si="5"/>
        <v>#N/A</v>
      </c>
    </row>
    <row r="45" spans="1:9">
      <c r="A45" s="98"/>
      <c r="B45" s="23"/>
      <c r="C45" s="99"/>
      <c r="D45" s="160" t="str">
        <f t="shared" si="4"/>
        <v>　</v>
      </c>
      <c r="E45" s="205" t="str">
        <f t="shared" si="3"/>
        <v xml:space="preserve">  </v>
      </c>
      <c r="F45" s="206"/>
      <c r="G45" s="144"/>
      <c r="H45" s="20" t="e">
        <f>INDEX('直管換算表（参考）'!$C$5:$I$26,MATCH(A45,'直管換算表（参考）'!$B$5:$B$26,0),MATCH(B45,'直管換算表（参考）'!$C$4:$I$4,0))</f>
        <v>#N/A</v>
      </c>
      <c r="I45" s="20" t="e">
        <f t="shared" si="5"/>
        <v>#N/A</v>
      </c>
    </row>
    <row r="46" spans="1:9">
      <c r="A46" s="98"/>
      <c r="B46" s="23"/>
      <c r="C46" s="99"/>
      <c r="D46" s="160" t="str">
        <f t="shared" si="4"/>
        <v>　</v>
      </c>
      <c r="E46" s="205" t="str">
        <f t="shared" si="3"/>
        <v xml:space="preserve">  </v>
      </c>
      <c r="F46" s="206"/>
      <c r="G46" s="144"/>
      <c r="H46" s="20" t="e">
        <f>INDEX('直管換算表（参考）'!$C$5:$I$26,MATCH(A46,'直管換算表（参考）'!$B$5:$B$26,0),MATCH(B46,'直管換算表（参考）'!$C$4:$I$4,0))</f>
        <v>#N/A</v>
      </c>
      <c r="I46" s="20" t="e">
        <f t="shared" si="5"/>
        <v>#N/A</v>
      </c>
    </row>
    <row r="47" spans="1:9">
      <c r="A47" s="98"/>
      <c r="B47" s="23"/>
      <c r="C47" s="99"/>
      <c r="D47" s="160" t="str">
        <f t="shared" si="4"/>
        <v>　</v>
      </c>
      <c r="E47" s="205" t="str">
        <f t="shared" si="3"/>
        <v xml:space="preserve">  </v>
      </c>
      <c r="F47" s="206"/>
      <c r="G47" s="144"/>
      <c r="H47" s="20" t="e">
        <f>INDEX('直管換算表（参考）'!$C$5:$I$26,MATCH(A47,'直管換算表（参考）'!$B$5:$B$26,0),MATCH(B47,'直管換算表（参考）'!$C$4:$I$4,0))</f>
        <v>#N/A</v>
      </c>
      <c r="I47" s="20" t="e">
        <f t="shared" si="5"/>
        <v>#N/A</v>
      </c>
    </row>
    <row r="48" spans="1:9">
      <c r="A48" s="98"/>
      <c r="B48" s="23"/>
      <c r="C48" s="99"/>
      <c r="D48" s="160" t="str">
        <f t="shared" si="4"/>
        <v>　</v>
      </c>
      <c r="E48" s="205" t="str">
        <f>IFERROR((I48/1000/60)/((B48/1000)^2*PI()/4),"  ")</f>
        <v xml:space="preserve">  </v>
      </c>
      <c r="F48" s="206"/>
      <c r="G48" s="144"/>
      <c r="H48" s="20" t="e">
        <f>INDEX('直管換算表（参考）'!$C$5:$I$26,MATCH(A48,'直管換算表（参考）'!$B$5:$B$26,0),MATCH(B48,'直管換算表（参考）'!$C$4:$I$4,0))</f>
        <v>#N/A</v>
      </c>
      <c r="I48" s="20" t="e">
        <f t="shared" si="5"/>
        <v>#N/A</v>
      </c>
    </row>
    <row r="49" spans="1:9">
      <c r="A49" s="98"/>
      <c r="B49" s="23"/>
      <c r="C49" s="99"/>
      <c r="D49" s="160" t="str">
        <f t="shared" si="4"/>
        <v>　</v>
      </c>
      <c r="E49" s="205" t="str">
        <f t="shared" si="3"/>
        <v xml:space="preserve">  </v>
      </c>
      <c r="F49" s="206"/>
      <c r="G49" s="144"/>
      <c r="H49" s="20" t="e">
        <f>INDEX('直管換算表（参考）'!$C$5:$I$26,MATCH(A49,'直管換算表（参考）'!$B$5:$B$26,0),MATCH(B49,'直管換算表（参考）'!$C$4:$I$4,0))</f>
        <v>#N/A</v>
      </c>
      <c r="I49" s="20" t="e">
        <f t="shared" si="5"/>
        <v>#N/A</v>
      </c>
    </row>
    <row r="50" spans="1:9">
      <c r="A50" s="98"/>
      <c r="B50" s="23"/>
      <c r="C50" s="99"/>
      <c r="D50" s="160" t="str">
        <f t="shared" si="4"/>
        <v>　</v>
      </c>
      <c r="E50" s="205" t="str">
        <f t="shared" si="3"/>
        <v xml:space="preserve">  </v>
      </c>
      <c r="F50" s="206"/>
      <c r="G50" s="144"/>
      <c r="H50" s="20" t="e">
        <f>INDEX('直管換算表（参考）'!$C$5:$I$26,MATCH(A50,'直管換算表（参考）'!$B$5:$B$26,0),MATCH(B50,'直管換算表（参考）'!$C$4:$I$4,0))</f>
        <v>#N/A</v>
      </c>
      <c r="I50" s="20" t="e">
        <f t="shared" si="5"/>
        <v>#N/A</v>
      </c>
    </row>
    <row r="51" spans="1:9">
      <c r="A51" s="98"/>
      <c r="B51" s="23"/>
      <c r="C51" s="99"/>
      <c r="D51" s="160" t="str">
        <f t="shared" si="4"/>
        <v>　</v>
      </c>
      <c r="E51" s="205" t="str">
        <f t="shared" si="3"/>
        <v xml:space="preserve">  </v>
      </c>
      <c r="F51" s="206"/>
      <c r="G51" s="144"/>
      <c r="H51" s="20" t="e">
        <f>INDEX('直管換算表（参考）'!$C$5:$I$26,MATCH(A51,'直管換算表（参考）'!$B$5:$B$26,0),MATCH(B51,'直管換算表（参考）'!$C$4:$I$4,0))</f>
        <v>#N/A</v>
      </c>
      <c r="I51" s="20" t="e">
        <f t="shared" si="5"/>
        <v>#N/A</v>
      </c>
    </row>
    <row r="52" spans="1:9">
      <c r="A52" s="98"/>
      <c r="B52" s="23"/>
      <c r="C52" s="99"/>
      <c r="D52" s="160" t="str">
        <f t="shared" si="4"/>
        <v>　</v>
      </c>
      <c r="E52" s="205" t="str">
        <f>IFERROR((I52/1000/60)/((B52/1000)^2*PI()/4),"  ")</f>
        <v xml:space="preserve">  </v>
      </c>
      <c r="F52" s="206"/>
      <c r="G52" s="144"/>
      <c r="H52" s="20" t="e">
        <f>INDEX('直管換算表（参考）'!$C$5:$I$26,MATCH(A52,'直管換算表（参考）'!$B$5:$B$26,0),MATCH(B52,'直管換算表（参考）'!$C$4:$I$4,0))</f>
        <v>#N/A</v>
      </c>
      <c r="I52" s="20" t="e">
        <f t="shared" si="5"/>
        <v>#N/A</v>
      </c>
    </row>
    <row r="53" spans="1:9">
      <c r="A53" s="98"/>
      <c r="B53" s="23"/>
      <c r="C53" s="99"/>
      <c r="D53" s="160" t="str">
        <f t="shared" si="4"/>
        <v>　</v>
      </c>
      <c r="E53" s="205" t="str">
        <f t="shared" si="3"/>
        <v xml:space="preserve">  </v>
      </c>
      <c r="F53" s="206"/>
      <c r="G53" s="144"/>
      <c r="H53" s="20" t="e">
        <f>INDEX('直管換算表（参考）'!$C$5:$I$26,MATCH(A53,'直管換算表（参考）'!$B$5:$B$26,0),MATCH(B53,'直管換算表（参考）'!$C$4:$I$4,0))</f>
        <v>#N/A</v>
      </c>
      <c r="I53" s="20" t="e">
        <f t="shared" si="5"/>
        <v>#N/A</v>
      </c>
    </row>
    <row r="54" spans="1:9">
      <c r="A54" s="98"/>
      <c r="B54" s="23"/>
      <c r="C54" s="99"/>
      <c r="D54" s="160" t="str">
        <f t="shared" si="4"/>
        <v>　</v>
      </c>
      <c r="E54" s="205" t="str">
        <f t="shared" si="3"/>
        <v xml:space="preserve">  </v>
      </c>
      <c r="F54" s="206"/>
      <c r="G54" s="144"/>
      <c r="H54" s="20" t="e">
        <f>INDEX('直管換算表（参考）'!$C$5:$I$26,MATCH(A54,'直管換算表（参考）'!$B$5:$B$26,0),MATCH(B54,'直管換算表（参考）'!$C$4:$I$4,0))</f>
        <v>#N/A</v>
      </c>
      <c r="I54" s="20" t="e">
        <f t="shared" si="5"/>
        <v>#N/A</v>
      </c>
    </row>
    <row r="55" spans="1:9">
      <c r="A55" s="98"/>
      <c r="B55" s="23"/>
      <c r="C55" s="99"/>
      <c r="D55" s="160" t="str">
        <f t="shared" si="4"/>
        <v>　</v>
      </c>
      <c r="E55" s="205" t="str">
        <f t="shared" si="3"/>
        <v xml:space="preserve">  </v>
      </c>
      <c r="F55" s="206"/>
      <c r="G55" s="144"/>
      <c r="H55" s="20" t="e">
        <f>INDEX('直管換算表（参考）'!$C$5:$I$26,MATCH(A55,'直管換算表（参考）'!$B$5:$B$26,0),MATCH(B55,'直管換算表（参考）'!$C$4:$I$4,0))</f>
        <v>#N/A</v>
      </c>
      <c r="I55" s="20" t="e">
        <f t="shared" si="5"/>
        <v>#N/A</v>
      </c>
    </row>
    <row r="56" spans="1:9">
      <c r="A56" s="98"/>
      <c r="B56" s="23"/>
      <c r="C56" s="99"/>
      <c r="D56" s="160" t="str">
        <f t="shared" si="4"/>
        <v>　</v>
      </c>
      <c r="E56" s="205" t="str">
        <f t="shared" si="3"/>
        <v xml:space="preserve">  </v>
      </c>
      <c r="F56" s="206"/>
      <c r="G56" s="144"/>
      <c r="H56" s="20" t="e">
        <f>INDEX('直管換算表（参考）'!$C$5:$I$26,MATCH(A56,'直管換算表（参考）'!$B$5:$B$26,0),MATCH(B56,'直管換算表（参考）'!$C$4:$I$4,0))</f>
        <v>#N/A</v>
      </c>
      <c r="I56" s="20" t="e">
        <f t="shared" si="5"/>
        <v>#N/A</v>
      </c>
    </row>
    <row r="57" spans="1:9">
      <c r="A57" s="98"/>
      <c r="B57" s="23"/>
      <c r="C57" s="99"/>
      <c r="D57" s="160" t="str">
        <f t="shared" si="4"/>
        <v>　</v>
      </c>
      <c r="E57" s="205" t="str">
        <f t="shared" si="3"/>
        <v xml:space="preserve">  </v>
      </c>
      <c r="F57" s="206"/>
      <c r="G57" s="144"/>
      <c r="H57" s="20" t="e">
        <f>INDEX('直管換算表（参考）'!$C$5:$I$26,MATCH(A57,'直管換算表（参考）'!$B$5:$B$26,0),MATCH(B57,'直管換算表（参考）'!$C$4:$I$4,0))</f>
        <v>#N/A</v>
      </c>
      <c r="I57" s="20" t="e">
        <f t="shared" si="5"/>
        <v>#N/A</v>
      </c>
    </row>
    <row r="58" spans="1:9">
      <c r="A58" s="98"/>
      <c r="B58" s="23"/>
      <c r="C58" s="99"/>
      <c r="D58" s="160" t="str">
        <f t="shared" si="4"/>
        <v>　</v>
      </c>
      <c r="E58" s="205" t="str">
        <f t="shared" si="3"/>
        <v xml:space="preserve">  </v>
      </c>
      <c r="F58" s="206"/>
      <c r="G58" s="144"/>
      <c r="H58" s="20" t="e">
        <f>INDEX('直管換算表（参考）'!$C$5:$I$26,MATCH(A58,'直管換算表（参考）'!$B$5:$B$26,0),MATCH(B58,'直管換算表（参考）'!$C$4:$I$4,0))</f>
        <v>#N/A</v>
      </c>
      <c r="I58" s="20" t="e">
        <f t="shared" si="5"/>
        <v>#N/A</v>
      </c>
    </row>
    <row r="59" spans="1:9">
      <c r="A59" s="98"/>
      <c r="B59" s="23"/>
      <c r="C59" s="99"/>
      <c r="D59" s="160" t="str">
        <f t="shared" si="4"/>
        <v>　</v>
      </c>
      <c r="E59" s="205" t="str">
        <f t="shared" si="3"/>
        <v xml:space="preserve">  </v>
      </c>
      <c r="F59" s="206"/>
      <c r="G59" s="144"/>
      <c r="H59" s="20" t="e">
        <f>INDEX('直管換算表（参考）'!$C$5:$I$26,MATCH(A59,'直管換算表（参考）'!$B$5:$B$26,0),MATCH(B59,'直管換算表（参考）'!$C$4:$I$4,0))</f>
        <v>#N/A</v>
      </c>
      <c r="I59" s="20" t="e">
        <f t="shared" si="5"/>
        <v>#N/A</v>
      </c>
    </row>
    <row r="60" spans="1:9">
      <c r="A60" s="98"/>
      <c r="B60" s="23"/>
      <c r="C60" s="99"/>
      <c r="D60" s="160" t="str">
        <f t="shared" si="4"/>
        <v>　</v>
      </c>
      <c r="E60" s="205" t="str">
        <f t="shared" si="3"/>
        <v xml:space="preserve">  </v>
      </c>
      <c r="F60" s="206"/>
      <c r="G60" s="144"/>
      <c r="H60" s="20" t="e">
        <f>INDEX('直管換算表（参考）'!$C$5:$I$26,MATCH(A60,'直管換算表（参考）'!$B$5:$B$26,0),MATCH(B60,'直管換算表（参考）'!$C$4:$I$4,0))</f>
        <v>#N/A</v>
      </c>
      <c r="I60" s="20" t="e">
        <f t="shared" si="5"/>
        <v>#N/A</v>
      </c>
    </row>
    <row r="61" spans="1:9" hidden="1">
      <c r="A61" s="98"/>
      <c r="B61" s="23"/>
      <c r="C61" s="99"/>
      <c r="D61" s="160" t="str">
        <f t="shared" si="4"/>
        <v>　</v>
      </c>
      <c r="E61" s="175" t="str">
        <f t="shared" si="3"/>
        <v xml:space="preserve">  </v>
      </c>
      <c r="F61" s="176"/>
      <c r="G61" s="142"/>
      <c r="H61" s="20" t="e">
        <f>INDEX('直管換算表（参考）'!$C$5:$I$26,MATCH(A61,'直管換算表（参考）'!$B$5:$B$26,0),MATCH(B61,'直管換算表（参考）'!$C$4:$I$4,0))</f>
        <v>#N/A</v>
      </c>
      <c r="I61" s="20" t="e">
        <f t="shared" si="5"/>
        <v>#N/A</v>
      </c>
    </row>
    <row r="62" spans="1:9" hidden="1">
      <c r="A62" s="98"/>
      <c r="B62" s="23"/>
      <c r="C62" s="99"/>
      <c r="D62" s="160" t="str">
        <f t="shared" si="4"/>
        <v>　</v>
      </c>
      <c r="E62" s="175" t="str">
        <f t="shared" si="3"/>
        <v xml:space="preserve">  </v>
      </c>
      <c r="F62" s="176"/>
      <c r="G62" s="142"/>
      <c r="H62" s="20" t="e">
        <f>INDEX('直管換算表（参考）'!$C$5:$I$26,MATCH(A62,'直管換算表（参考）'!$B$5:$B$26,0),MATCH(B62,'直管換算表（参考）'!$C$4:$I$4,0))</f>
        <v>#N/A</v>
      </c>
      <c r="I62" s="20" t="e">
        <f t="shared" si="5"/>
        <v>#N/A</v>
      </c>
    </row>
    <row r="63" spans="1:9" hidden="1">
      <c r="A63" s="98"/>
      <c r="B63" s="23"/>
      <c r="C63" s="99"/>
      <c r="D63" s="160" t="str">
        <f t="shared" si="4"/>
        <v>　</v>
      </c>
      <c r="E63" s="175" t="str">
        <f t="shared" si="3"/>
        <v xml:space="preserve">  </v>
      </c>
      <c r="F63" s="176"/>
      <c r="G63" s="142"/>
      <c r="H63" s="20" t="e">
        <f>INDEX('直管換算表（参考）'!$C$5:$I$26,MATCH(A63,'直管換算表（参考）'!$B$5:$B$26,0),MATCH(B63,'直管換算表（参考）'!$C$4:$I$4,0))</f>
        <v>#N/A</v>
      </c>
      <c r="I63" s="20" t="e">
        <f t="shared" si="5"/>
        <v>#N/A</v>
      </c>
    </row>
    <row r="64" spans="1:9" hidden="1">
      <c r="A64" s="98"/>
      <c r="B64" s="23"/>
      <c r="C64" s="99"/>
      <c r="D64" s="160" t="str">
        <f t="shared" si="4"/>
        <v>　</v>
      </c>
      <c r="E64" s="175" t="str">
        <f t="shared" si="3"/>
        <v xml:space="preserve">  </v>
      </c>
      <c r="F64" s="176"/>
      <c r="G64" s="142"/>
      <c r="H64" s="20" t="e">
        <f>INDEX('直管換算表（参考）'!$C$5:$I$26,MATCH(A64,'直管換算表（参考）'!$B$5:$B$26,0),MATCH(B64,'直管換算表（参考）'!$C$4:$I$4,0))</f>
        <v>#N/A</v>
      </c>
      <c r="I64" s="20" t="e">
        <f t="shared" si="5"/>
        <v>#N/A</v>
      </c>
    </row>
    <row r="65" spans="1:9" hidden="1">
      <c r="A65" s="98"/>
      <c r="B65" s="23"/>
      <c r="C65" s="99"/>
      <c r="D65" s="160" t="str">
        <f t="shared" si="4"/>
        <v>　</v>
      </c>
      <c r="E65" s="175" t="str">
        <f t="shared" si="3"/>
        <v xml:space="preserve">  </v>
      </c>
      <c r="F65" s="176"/>
      <c r="G65" s="142"/>
      <c r="H65" s="20" t="e">
        <f>INDEX('直管換算表（参考）'!$C$5:$I$26,MATCH(A65,'直管換算表（参考）'!$B$5:$B$26,0),MATCH(B65,'直管換算表（参考）'!$C$4:$I$4,0))</f>
        <v>#N/A</v>
      </c>
      <c r="I65" s="20" t="e">
        <f t="shared" si="5"/>
        <v>#N/A</v>
      </c>
    </row>
    <row r="66" spans="1:9" hidden="1">
      <c r="A66" s="98"/>
      <c r="B66" s="23"/>
      <c r="C66" s="99"/>
      <c r="D66" s="160" t="str">
        <f t="shared" si="4"/>
        <v>　</v>
      </c>
      <c r="E66" s="175" t="str">
        <f t="shared" si="3"/>
        <v xml:space="preserve">  </v>
      </c>
      <c r="F66" s="176"/>
      <c r="G66" s="142"/>
      <c r="H66" s="20" t="e">
        <f>INDEX('直管換算表（参考）'!$C$5:$I$26,MATCH(A66,'直管換算表（参考）'!$B$5:$B$26,0),MATCH(B66,'直管換算表（参考）'!$C$4:$I$4,0))</f>
        <v>#N/A</v>
      </c>
      <c r="I66" s="20" t="e">
        <f t="shared" si="5"/>
        <v>#N/A</v>
      </c>
    </row>
    <row r="67" spans="1:9" hidden="1">
      <c r="A67" s="98"/>
      <c r="B67" s="23"/>
      <c r="C67" s="99"/>
      <c r="D67" s="160" t="str">
        <f t="shared" si="4"/>
        <v>　</v>
      </c>
      <c r="E67" s="175" t="str">
        <f t="shared" si="3"/>
        <v xml:space="preserve">  </v>
      </c>
      <c r="F67" s="176"/>
      <c r="G67" s="142"/>
      <c r="H67" s="20" t="e">
        <f>INDEX('直管換算表（参考）'!$C$5:$I$26,MATCH(A67,'直管換算表（参考）'!$B$5:$B$26,0),MATCH(B67,'直管換算表（参考）'!$C$4:$I$4,0))</f>
        <v>#N/A</v>
      </c>
      <c r="I67" s="20" t="e">
        <f t="shared" si="5"/>
        <v>#N/A</v>
      </c>
    </row>
    <row r="68" spans="1:9" hidden="1">
      <c r="A68" s="98"/>
      <c r="B68" s="23"/>
      <c r="C68" s="99"/>
      <c r="D68" s="160" t="str">
        <f t="shared" si="4"/>
        <v>　</v>
      </c>
      <c r="E68" s="175" t="str">
        <f t="shared" si="3"/>
        <v xml:space="preserve">  </v>
      </c>
      <c r="F68" s="176"/>
      <c r="G68" s="142"/>
      <c r="H68" s="20" t="e">
        <f>INDEX('直管換算表（参考）'!$C$5:$I$26,MATCH(A68,'直管換算表（参考）'!$B$5:$B$26,0),MATCH(B68,'直管換算表（参考）'!$C$4:$I$4,0))</f>
        <v>#N/A</v>
      </c>
      <c r="I68" s="20" t="e">
        <f t="shared" si="5"/>
        <v>#N/A</v>
      </c>
    </row>
    <row r="69" spans="1:9" hidden="1">
      <c r="A69" s="98"/>
      <c r="B69" s="23"/>
      <c r="C69" s="99"/>
      <c r="D69" s="160" t="str">
        <f t="shared" si="4"/>
        <v>　</v>
      </c>
      <c r="E69" s="175" t="str">
        <f t="shared" si="3"/>
        <v xml:space="preserve">  </v>
      </c>
      <c r="F69" s="176"/>
      <c r="G69" s="142"/>
      <c r="H69" s="20" t="e">
        <f>INDEX('直管換算表（参考）'!$C$5:$I$26,MATCH(A69,'直管換算表（参考）'!$B$5:$B$26,0),MATCH(B69,'直管換算表（参考）'!$C$4:$I$4,0))</f>
        <v>#N/A</v>
      </c>
      <c r="I69" s="20" t="e">
        <f t="shared" si="5"/>
        <v>#N/A</v>
      </c>
    </row>
    <row r="70" spans="1:9" ht="27">
      <c r="A70" s="100" t="s">
        <v>5</v>
      </c>
      <c r="B70" s="36">
        <f>B7</f>
        <v>0</v>
      </c>
      <c r="C70" s="101" t="str">
        <f>B5</f>
        <v/>
      </c>
      <c r="D70" s="160" t="str">
        <f t="shared" si="4"/>
        <v>　</v>
      </c>
      <c r="E70" s="205" t="str">
        <f t="shared" si="3"/>
        <v xml:space="preserve">  </v>
      </c>
      <c r="F70" s="206"/>
      <c r="G70" s="144"/>
      <c r="H70" s="20" t="e">
        <f>INDEX('直管換算表（参考）'!$C$5:$I$26,MATCH(A70,'直管換算表（参考）'!$B$5:$B$26,0),MATCH(B70,'直管換算表（参考）'!$C$4:$I$4,0))</f>
        <v>#N/A</v>
      </c>
      <c r="I70" s="20" t="e">
        <f t="shared" si="5"/>
        <v>#N/A</v>
      </c>
    </row>
    <row r="71" spans="1:9">
      <c r="A71" s="100" t="s">
        <v>26</v>
      </c>
      <c r="B71" s="23"/>
      <c r="C71" s="101" t="str">
        <f>B5</f>
        <v/>
      </c>
      <c r="D71" s="160" t="str">
        <f t="shared" si="4"/>
        <v>　</v>
      </c>
      <c r="E71" s="205" t="str">
        <f t="shared" si="3"/>
        <v xml:space="preserve">  </v>
      </c>
      <c r="F71" s="206"/>
      <c r="G71" s="144"/>
      <c r="H71" s="20" t="e">
        <f>INDEX('直管換算表（参考）'!$C$7:$I$26,MATCH(A71,'直管換算表（参考）'!$B$7:$B$26,0),MATCH(B71,'直管換算表（参考）'!$C$4:$I$4,0))</f>
        <v>#N/A</v>
      </c>
      <c r="I71" s="20" t="e">
        <f t="shared" si="5"/>
        <v>#N/A</v>
      </c>
    </row>
    <row r="72" spans="1:9">
      <c r="A72" s="100" t="s">
        <v>24</v>
      </c>
      <c r="B72" s="23"/>
      <c r="C72" s="101" t="str">
        <f>B5</f>
        <v/>
      </c>
      <c r="D72" s="160" t="str">
        <f t="shared" si="4"/>
        <v>　</v>
      </c>
      <c r="E72" s="205" t="str">
        <f t="shared" si="3"/>
        <v xml:space="preserve">  </v>
      </c>
      <c r="F72" s="206"/>
      <c r="G72" s="144"/>
      <c r="H72" s="20" t="e">
        <f>INDEX('直管換算表（参考）'!$C$7:$I$26,MATCH(A72,'直管換算表（参考）'!$B$7:$B$26,0),MATCH(B72,'直管換算表（参考）'!$C$4:$I$4,0))</f>
        <v>#N/A</v>
      </c>
      <c r="I72" s="20" t="e">
        <f t="shared" si="5"/>
        <v>#N/A</v>
      </c>
    </row>
    <row r="73" spans="1:9" ht="14.25" thickBot="1">
      <c r="A73" s="102" t="s">
        <v>2</v>
      </c>
      <c r="B73" s="103"/>
      <c r="C73" s="104" t="str">
        <f>B5</f>
        <v/>
      </c>
      <c r="D73" s="177" t="str">
        <f t="shared" si="4"/>
        <v>　</v>
      </c>
      <c r="E73" s="217" t="str">
        <f t="shared" si="3"/>
        <v xml:space="preserve">  </v>
      </c>
      <c r="F73" s="218"/>
      <c r="G73" s="144"/>
      <c r="H73" s="20" t="e">
        <f>INDEX('直管換算表（参考）'!$C$7:$I$26,MATCH(A73,'直管換算表（参考）'!$B$7:$B$26,0),MATCH(B73,'直管換算表（参考）'!$C$4:$I$4,0))</f>
        <v>#N/A</v>
      </c>
      <c r="I73" s="20" t="e">
        <f t="shared" si="5"/>
        <v>#N/A</v>
      </c>
    </row>
    <row r="74" spans="1:9" ht="15" thickTop="1" thickBot="1">
      <c r="B74" s="11"/>
      <c r="C74"/>
      <c r="D74" s="149">
        <f>SUM(D40:D73)</f>
        <v>0</v>
      </c>
      <c r="E74" s="3"/>
      <c r="F74" s="3"/>
      <c r="G74" s="3"/>
    </row>
    <row r="75" spans="1:9" ht="15" thickTop="1" thickBot="1">
      <c r="A75" s="24" t="s">
        <v>61</v>
      </c>
      <c r="B75" s="11"/>
      <c r="C75"/>
      <c r="D75" s="10"/>
      <c r="E75" s="10"/>
      <c r="F75" s="10"/>
      <c r="G75" s="10"/>
    </row>
    <row r="76" spans="1:9" ht="15" thickTop="1" thickBot="1">
      <c r="A76" s="140" t="s">
        <v>49</v>
      </c>
      <c r="B76" s="40" t="str">
        <f>IFERROR(SUM(H2+D37+D74+H8+H9+B11*表!G19)*0.0098,"")</f>
        <v/>
      </c>
      <c r="C76" s="38" t="s">
        <v>48</v>
      </c>
      <c r="D76" s="180" t="str">
        <f>IF(B3&gt;B76,"OK","NG")</f>
        <v>NG</v>
      </c>
      <c r="E76" s="219"/>
      <c r="F76" s="220"/>
      <c r="G76" s="153"/>
    </row>
    <row r="77" spans="1:9" ht="13.5" customHeight="1" thickTop="1" thickBot="1">
      <c r="A77" s="180" t="s">
        <v>50</v>
      </c>
      <c r="B77" s="181">
        <f>MAX(E12:E73)</f>
        <v>0</v>
      </c>
      <c r="C77" s="182" t="s">
        <v>51</v>
      </c>
      <c r="D77" s="184" t="str">
        <f>IF(B77&lt;=2,"2m/sec以内で問題なし","NG　　　　　　　　　　　　　　　　　　　　　　ウォータハンマの恐れあり")</f>
        <v>2m/sec以内で問題なし</v>
      </c>
      <c r="E77" s="215"/>
      <c r="F77" s="185"/>
      <c r="G77" s="154"/>
    </row>
    <row r="78" spans="1:9" ht="15" thickTop="1" thickBot="1">
      <c r="A78" s="180"/>
      <c r="B78" s="181"/>
      <c r="C78" s="182"/>
      <c r="D78" s="186"/>
      <c r="E78" s="216"/>
      <c r="F78" s="187"/>
      <c r="G78" s="154"/>
    </row>
    <row r="79" spans="1:9" ht="14.25" thickTop="1"/>
  </sheetData>
  <protectedRanges>
    <protectedRange sqref="D12:G36" name="範囲1"/>
  </protectedRanges>
  <mergeCells count="58">
    <mergeCell ref="D77:F78"/>
    <mergeCell ref="E60:F60"/>
    <mergeCell ref="E70:F70"/>
    <mergeCell ref="E71:F71"/>
    <mergeCell ref="E72:F72"/>
    <mergeCell ref="E73:F73"/>
    <mergeCell ref="D76:F76"/>
    <mergeCell ref="E59:F59"/>
    <mergeCell ref="E48:F48"/>
    <mergeCell ref="E49:F49"/>
    <mergeCell ref="E50:F50"/>
    <mergeCell ref="E51:F51"/>
    <mergeCell ref="E52:F52"/>
    <mergeCell ref="E53:F53"/>
    <mergeCell ref="E54:F54"/>
    <mergeCell ref="E55:F55"/>
    <mergeCell ref="E56:F56"/>
    <mergeCell ref="E57:F57"/>
    <mergeCell ref="E58:F58"/>
    <mergeCell ref="E32:F32"/>
    <mergeCell ref="E47:F47"/>
    <mergeCell ref="E34:F34"/>
    <mergeCell ref="E35:F35"/>
    <mergeCell ref="E36:F36"/>
    <mergeCell ref="E39:F39"/>
    <mergeCell ref="E40:F40"/>
    <mergeCell ref="E41:F41"/>
    <mergeCell ref="E42:F42"/>
    <mergeCell ref="E43:F43"/>
    <mergeCell ref="E44:F44"/>
    <mergeCell ref="E45:F45"/>
    <mergeCell ref="E46:F46"/>
    <mergeCell ref="E27:F27"/>
    <mergeCell ref="E28:F28"/>
    <mergeCell ref="E29:F29"/>
    <mergeCell ref="E30:F30"/>
    <mergeCell ref="E31:F31"/>
    <mergeCell ref="E22:F22"/>
    <mergeCell ref="E23:F23"/>
    <mergeCell ref="E24:F24"/>
    <mergeCell ref="E25:F25"/>
    <mergeCell ref="E26:F26"/>
    <mergeCell ref="D1:F1"/>
    <mergeCell ref="E21:F21"/>
    <mergeCell ref="A77:A78"/>
    <mergeCell ref="B77:B78"/>
    <mergeCell ref="C77:C78"/>
    <mergeCell ref="E11:F11"/>
    <mergeCell ref="E12:F12"/>
    <mergeCell ref="E13:F13"/>
    <mergeCell ref="E14:F14"/>
    <mergeCell ref="E15:F15"/>
    <mergeCell ref="E16:F16"/>
    <mergeCell ref="E17:F17"/>
    <mergeCell ref="E18:F18"/>
    <mergeCell ref="E19:F19"/>
    <mergeCell ref="E20:F20"/>
    <mergeCell ref="E33:F33"/>
  </mergeCells>
  <phoneticPr fontId="1"/>
  <conditionalFormatting sqref="E12:E32">
    <cfRule type="cellIs" dxfId="145" priority="163" operator="greaterThan">
      <formula>2</formula>
    </cfRule>
  </conditionalFormatting>
  <conditionalFormatting sqref="B16:B19">
    <cfRule type="expression" dxfId="144" priority="159">
      <formula>$B$7&gt;=20</formula>
    </cfRule>
  </conditionalFormatting>
  <conditionalFormatting sqref="B12:B15">
    <cfRule type="expression" dxfId="143" priority="158">
      <formula>$B$7&gt;=13</formula>
    </cfRule>
  </conditionalFormatting>
  <conditionalFormatting sqref="B15">
    <cfRule type="expression" dxfId="142" priority="157">
      <formula>$B$5&lt;3</formula>
    </cfRule>
  </conditionalFormatting>
  <conditionalFormatting sqref="B14">
    <cfRule type="expression" dxfId="141" priority="156">
      <formula>$B$5&lt;2</formula>
    </cfRule>
  </conditionalFormatting>
  <conditionalFormatting sqref="B19">
    <cfRule type="expression" dxfId="140" priority="155">
      <formula>$B$5&lt;3</formula>
    </cfRule>
  </conditionalFormatting>
  <conditionalFormatting sqref="B18">
    <cfRule type="expression" dxfId="139" priority="154">
      <formula>$B$5&lt;2</formula>
    </cfRule>
  </conditionalFormatting>
  <conditionalFormatting sqref="D13:E13">
    <cfRule type="expression" dxfId="138" priority="142">
      <formula>$B$13&gt;0</formula>
    </cfRule>
  </conditionalFormatting>
  <conditionalFormatting sqref="D14:E14">
    <cfRule type="expression" dxfId="137" priority="141">
      <formula>$B$14&gt;0</formula>
    </cfRule>
  </conditionalFormatting>
  <conditionalFormatting sqref="D15:E15">
    <cfRule type="expression" dxfId="136" priority="140">
      <formula>$B$15&gt;0</formula>
    </cfRule>
  </conditionalFormatting>
  <conditionalFormatting sqref="D17:E17">
    <cfRule type="expression" dxfId="135" priority="139">
      <formula>$B$17&gt;0</formula>
    </cfRule>
  </conditionalFormatting>
  <conditionalFormatting sqref="D18:E18">
    <cfRule type="expression" dxfId="134" priority="138">
      <formula>$B$18&gt;0</formula>
    </cfRule>
  </conditionalFormatting>
  <conditionalFormatting sqref="D19:E19">
    <cfRule type="expression" dxfId="133" priority="137">
      <formula>$B$19&gt;0</formula>
    </cfRule>
  </conditionalFormatting>
  <conditionalFormatting sqref="D21:E21">
    <cfRule type="expression" dxfId="132" priority="136">
      <formula>$B$21&gt;0</formula>
    </cfRule>
  </conditionalFormatting>
  <conditionalFormatting sqref="D22:E22">
    <cfRule type="expression" dxfId="131" priority="135">
      <formula>$B$22&gt;0</formula>
    </cfRule>
  </conditionalFormatting>
  <conditionalFormatting sqref="D23:E23">
    <cfRule type="expression" dxfId="130" priority="134">
      <formula>$B$23&gt;0</formula>
    </cfRule>
  </conditionalFormatting>
  <conditionalFormatting sqref="D25:E25">
    <cfRule type="expression" dxfId="129" priority="133">
      <formula>$B$25&gt;0</formula>
    </cfRule>
  </conditionalFormatting>
  <conditionalFormatting sqref="D26:E26">
    <cfRule type="expression" dxfId="128" priority="132">
      <formula>$B$26&gt;0</formula>
    </cfRule>
  </conditionalFormatting>
  <conditionalFormatting sqref="D27:E27">
    <cfRule type="expression" dxfId="127" priority="131">
      <formula>$B$27&gt;0</formula>
    </cfRule>
  </conditionalFormatting>
  <conditionalFormatting sqref="D28:E28">
    <cfRule type="expression" dxfId="126" priority="130">
      <formula>$B$28&gt;0</formula>
    </cfRule>
  </conditionalFormatting>
  <conditionalFormatting sqref="D30:E30">
    <cfRule type="expression" dxfId="125" priority="129">
      <formula>$B$30&gt;0</formula>
    </cfRule>
  </conditionalFormatting>
  <conditionalFormatting sqref="D31:E31">
    <cfRule type="expression" dxfId="124" priority="128">
      <formula>$B$31&gt;0</formula>
    </cfRule>
  </conditionalFormatting>
  <conditionalFormatting sqref="D32:E32">
    <cfRule type="expression" dxfId="123" priority="127">
      <formula>$B$32&gt;0</formula>
    </cfRule>
  </conditionalFormatting>
  <conditionalFormatting sqref="D33:E33">
    <cfRule type="expression" dxfId="122" priority="126">
      <formula>$B$33&gt;0</formula>
    </cfRule>
  </conditionalFormatting>
  <conditionalFormatting sqref="D34:E34">
    <cfRule type="expression" dxfId="121" priority="125">
      <formula>$B$34&gt;0</formula>
    </cfRule>
  </conditionalFormatting>
  <conditionalFormatting sqref="D35:E35">
    <cfRule type="expression" dxfId="120" priority="124">
      <formula>$B$35&gt;0</formula>
    </cfRule>
  </conditionalFormatting>
  <conditionalFormatting sqref="D36:E36">
    <cfRule type="expression" dxfId="119" priority="123">
      <formula>$B$36&gt;0</formula>
    </cfRule>
  </conditionalFormatting>
  <conditionalFormatting sqref="D40:E40">
    <cfRule type="expression" dxfId="118" priority="122">
      <formula>$B$40&gt;0</formula>
    </cfRule>
  </conditionalFormatting>
  <conditionalFormatting sqref="D41">
    <cfRule type="expression" dxfId="117" priority="121">
      <formula>$B$41&gt;0</formula>
    </cfRule>
  </conditionalFormatting>
  <conditionalFormatting sqref="D42">
    <cfRule type="expression" dxfId="116" priority="120">
      <formula>$B$42&gt;0</formula>
    </cfRule>
  </conditionalFormatting>
  <conditionalFormatting sqref="D43">
    <cfRule type="expression" dxfId="115" priority="119">
      <formula>$B$43&gt;0</formula>
    </cfRule>
  </conditionalFormatting>
  <conditionalFormatting sqref="E47">
    <cfRule type="expression" dxfId="114" priority="118">
      <formula>$B$47&gt;0</formula>
    </cfRule>
  </conditionalFormatting>
  <conditionalFormatting sqref="E48">
    <cfRule type="expression" dxfId="113" priority="117">
      <formula>$B$48&gt;0</formula>
    </cfRule>
  </conditionalFormatting>
  <conditionalFormatting sqref="E49">
    <cfRule type="expression" dxfId="112" priority="116">
      <formula>$B$49&gt;0</formula>
    </cfRule>
  </conditionalFormatting>
  <conditionalFormatting sqref="E50">
    <cfRule type="expression" dxfId="111" priority="115">
      <formula>$B$50&gt;0</formula>
    </cfRule>
  </conditionalFormatting>
  <conditionalFormatting sqref="E51">
    <cfRule type="expression" dxfId="110" priority="114">
      <formula>$B$51&gt;0</formula>
    </cfRule>
  </conditionalFormatting>
  <conditionalFormatting sqref="E52">
    <cfRule type="expression" dxfId="109" priority="113">
      <formula>$B$52&gt;0</formula>
    </cfRule>
  </conditionalFormatting>
  <conditionalFormatting sqref="E53">
    <cfRule type="expression" dxfId="108" priority="112">
      <formula>$B$53&gt;0</formula>
    </cfRule>
  </conditionalFormatting>
  <conditionalFormatting sqref="E54">
    <cfRule type="expression" dxfId="107" priority="111">
      <formula>$B$54&gt;0</formula>
    </cfRule>
  </conditionalFormatting>
  <conditionalFormatting sqref="E55">
    <cfRule type="expression" dxfId="106" priority="110">
      <formula>$B$55&gt;0</formula>
    </cfRule>
  </conditionalFormatting>
  <conditionalFormatting sqref="E56">
    <cfRule type="expression" dxfId="105" priority="109">
      <formula>$B$56&gt;0</formula>
    </cfRule>
  </conditionalFormatting>
  <conditionalFormatting sqref="E57">
    <cfRule type="expression" dxfId="104" priority="108">
      <formula>$B$57&gt;0</formula>
    </cfRule>
  </conditionalFormatting>
  <conditionalFormatting sqref="E58">
    <cfRule type="expression" dxfId="103" priority="107">
      <formula>$B$58&gt;0</formula>
    </cfRule>
  </conditionalFormatting>
  <conditionalFormatting sqref="E59">
    <cfRule type="expression" dxfId="102" priority="106">
      <formula>$B$59&gt;0</formula>
    </cfRule>
  </conditionalFormatting>
  <conditionalFormatting sqref="E60">
    <cfRule type="expression" dxfId="101" priority="105">
      <formula>$B$60&gt;0</formula>
    </cfRule>
  </conditionalFormatting>
  <conditionalFormatting sqref="E61:G61">
    <cfRule type="expression" dxfId="100" priority="104">
      <formula>$B$61&gt;0</formula>
    </cfRule>
  </conditionalFormatting>
  <conditionalFormatting sqref="E62:G62">
    <cfRule type="expression" dxfId="99" priority="103">
      <formula>$B$62&gt;0</formula>
    </cfRule>
  </conditionalFormatting>
  <conditionalFormatting sqref="E63:G63">
    <cfRule type="expression" dxfId="98" priority="102">
      <formula>$B$63&gt;0</formula>
    </cfRule>
  </conditionalFormatting>
  <conditionalFormatting sqref="E64:G64">
    <cfRule type="expression" dxfId="97" priority="101">
      <formula>$B$64&gt;0</formula>
    </cfRule>
  </conditionalFormatting>
  <conditionalFormatting sqref="E65:G65">
    <cfRule type="expression" dxfId="96" priority="100">
      <formula>$B$65&gt;0</formula>
    </cfRule>
  </conditionalFormatting>
  <conditionalFormatting sqref="E66:G66">
    <cfRule type="expression" dxfId="95" priority="99">
      <formula>$B$66&gt;0</formula>
    </cfRule>
  </conditionalFormatting>
  <conditionalFormatting sqref="E67:G67">
    <cfRule type="expression" dxfId="94" priority="98">
      <formula>$B$67&gt;0</formula>
    </cfRule>
  </conditionalFormatting>
  <conditionalFormatting sqref="E68:G68">
    <cfRule type="expression" dxfId="93" priority="97">
      <formula>$B$68&gt;0</formula>
    </cfRule>
  </conditionalFormatting>
  <conditionalFormatting sqref="E69:G69">
    <cfRule type="expression" dxfId="92" priority="96">
      <formula>$B$69&gt;0</formula>
    </cfRule>
  </conditionalFormatting>
  <conditionalFormatting sqref="E70">
    <cfRule type="expression" dxfId="91" priority="95">
      <formula>$B$70&gt;0</formula>
    </cfRule>
  </conditionalFormatting>
  <conditionalFormatting sqref="E71">
    <cfRule type="expression" dxfId="90" priority="94">
      <formula>$B$71&gt;0</formula>
    </cfRule>
  </conditionalFormatting>
  <conditionalFormatting sqref="E72">
    <cfRule type="expression" dxfId="89" priority="93">
      <formula>$B$72&gt;0</formula>
    </cfRule>
  </conditionalFormatting>
  <conditionalFormatting sqref="E73">
    <cfRule type="expression" dxfId="88" priority="92">
      <formula>$B$73&gt;0</formula>
    </cfRule>
  </conditionalFormatting>
  <conditionalFormatting sqref="E40">
    <cfRule type="cellIs" dxfId="87" priority="91" operator="greaterThan">
      <formula>2</formula>
    </cfRule>
  </conditionalFormatting>
  <conditionalFormatting sqref="E41">
    <cfRule type="expression" dxfId="86" priority="90">
      <formula>$B$41&gt;0</formula>
    </cfRule>
  </conditionalFormatting>
  <conditionalFormatting sqref="E41">
    <cfRule type="cellIs" dxfId="85" priority="89" operator="greaterThan">
      <formula>2</formula>
    </cfRule>
  </conditionalFormatting>
  <conditionalFormatting sqref="E42">
    <cfRule type="expression" dxfId="84" priority="88">
      <formula>$B$42&gt;0</formula>
    </cfRule>
  </conditionalFormatting>
  <conditionalFormatting sqref="E42">
    <cfRule type="cellIs" dxfId="83" priority="87" operator="greaterThan">
      <formula>2</formula>
    </cfRule>
  </conditionalFormatting>
  <conditionalFormatting sqref="E43">
    <cfRule type="expression" dxfId="82" priority="86">
      <formula>$B$43&gt;0</formula>
    </cfRule>
  </conditionalFormatting>
  <conditionalFormatting sqref="E43">
    <cfRule type="cellIs" dxfId="81" priority="85" operator="greaterThan">
      <formula>2</formula>
    </cfRule>
  </conditionalFormatting>
  <conditionalFormatting sqref="E44">
    <cfRule type="expression" dxfId="80" priority="84">
      <formula>$B$44&gt;0</formula>
    </cfRule>
  </conditionalFormatting>
  <conditionalFormatting sqref="E44">
    <cfRule type="cellIs" dxfId="79" priority="83" operator="greaterThan">
      <formula>2</formula>
    </cfRule>
  </conditionalFormatting>
  <conditionalFormatting sqref="E45">
    <cfRule type="expression" dxfId="78" priority="82">
      <formula>$B$45&gt;0</formula>
    </cfRule>
  </conditionalFormatting>
  <conditionalFormatting sqref="E45">
    <cfRule type="cellIs" dxfId="77" priority="81" operator="greaterThan">
      <formula>2</formula>
    </cfRule>
  </conditionalFormatting>
  <conditionalFormatting sqref="E46">
    <cfRule type="expression" dxfId="76" priority="80">
      <formula>$B$46&gt;0</formula>
    </cfRule>
  </conditionalFormatting>
  <conditionalFormatting sqref="E46">
    <cfRule type="cellIs" dxfId="75" priority="79" operator="greaterThan">
      <formula>2</formula>
    </cfRule>
  </conditionalFormatting>
  <conditionalFormatting sqref="E47">
    <cfRule type="cellIs" dxfId="74" priority="78" operator="greaterThan">
      <formula>2</formula>
    </cfRule>
  </conditionalFormatting>
  <conditionalFormatting sqref="E48">
    <cfRule type="cellIs" dxfId="73" priority="77" operator="greaterThan">
      <formula>2</formula>
    </cfRule>
  </conditionalFormatting>
  <conditionalFormatting sqref="E49">
    <cfRule type="cellIs" dxfId="72" priority="76" operator="greaterThan">
      <formula>2</formula>
    </cfRule>
  </conditionalFormatting>
  <conditionalFormatting sqref="E50">
    <cfRule type="cellIs" dxfId="71" priority="75" operator="greaterThan">
      <formula>2</formula>
    </cfRule>
  </conditionalFormatting>
  <conditionalFormatting sqref="E51">
    <cfRule type="cellIs" dxfId="70" priority="74" operator="greaterThan">
      <formula>2</formula>
    </cfRule>
  </conditionalFormatting>
  <conditionalFormatting sqref="E52">
    <cfRule type="cellIs" dxfId="69" priority="73" operator="greaterThan">
      <formula>2</formula>
    </cfRule>
  </conditionalFormatting>
  <conditionalFormatting sqref="E53">
    <cfRule type="cellIs" dxfId="68" priority="72" operator="greaterThan">
      <formula>2</formula>
    </cfRule>
  </conditionalFormatting>
  <conditionalFormatting sqref="E54">
    <cfRule type="cellIs" dxfId="67" priority="71" operator="greaterThan">
      <formula>2</formula>
    </cfRule>
  </conditionalFormatting>
  <conditionalFormatting sqref="E55">
    <cfRule type="cellIs" dxfId="66" priority="70" operator="greaterThan">
      <formula>2</formula>
    </cfRule>
  </conditionalFormatting>
  <conditionalFormatting sqref="E56">
    <cfRule type="cellIs" dxfId="65" priority="69" operator="greaterThan">
      <formula>2</formula>
    </cfRule>
  </conditionalFormatting>
  <conditionalFormatting sqref="E57">
    <cfRule type="cellIs" dxfId="64" priority="68" operator="greaterThan">
      <formula>2</formula>
    </cfRule>
  </conditionalFormatting>
  <conditionalFormatting sqref="E58">
    <cfRule type="cellIs" dxfId="63" priority="67" operator="greaterThan">
      <formula>2</formula>
    </cfRule>
  </conditionalFormatting>
  <conditionalFormatting sqref="E59">
    <cfRule type="cellIs" dxfId="62" priority="66" operator="greaterThan">
      <formula>2</formula>
    </cfRule>
  </conditionalFormatting>
  <conditionalFormatting sqref="E60">
    <cfRule type="cellIs" dxfId="61" priority="65" operator="greaterThan">
      <formula>2</formula>
    </cfRule>
  </conditionalFormatting>
  <conditionalFormatting sqref="E61:G61">
    <cfRule type="cellIs" dxfId="60" priority="64" operator="greaterThan">
      <formula>2</formula>
    </cfRule>
  </conditionalFormatting>
  <conditionalFormatting sqref="E62:G62">
    <cfRule type="cellIs" dxfId="59" priority="63" operator="greaterThan">
      <formula>2</formula>
    </cfRule>
  </conditionalFormatting>
  <conditionalFormatting sqref="E63:G63">
    <cfRule type="cellIs" dxfId="58" priority="62" operator="greaterThan">
      <formula>2</formula>
    </cfRule>
  </conditionalFormatting>
  <conditionalFormatting sqref="E64:G64">
    <cfRule type="cellIs" dxfId="57" priority="61" operator="greaterThan">
      <formula>2</formula>
    </cfRule>
  </conditionalFormatting>
  <conditionalFormatting sqref="E65:G65">
    <cfRule type="cellIs" dxfId="56" priority="60" operator="greaterThan">
      <formula>2</formula>
    </cfRule>
  </conditionalFormatting>
  <conditionalFormatting sqref="E66:G66">
    <cfRule type="cellIs" dxfId="55" priority="59" operator="greaterThan">
      <formula>2</formula>
    </cfRule>
  </conditionalFormatting>
  <conditionalFormatting sqref="E67:G67">
    <cfRule type="cellIs" dxfId="54" priority="58" operator="greaterThan">
      <formula>2</formula>
    </cfRule>
  </conditionalFormatting>
  <conditionalFormatting sqref="E68:G68">
    <cfRule type="cellIs" dxfId="53" priority="57" operator="greaterThan">
      <formula>2</formula>
    </cfRule>
  </conditionalFormatting>
  <conditionalFormatting sqref="E69:G69">
    <cfRule type="cellIs" dxfId="52" priority="56" operator="greaterThan">
      <formula>2</formula>
    </cfRule>
  </conditionalFormatting>
  <conditionalFormatting sqref="E70">
    <cfRule type="cellIs" dxfId="51" priority="55" operator="greaterThan">
      <formula>2</formula>
    </cfRule>
  </conditionalFormatting>
  <conditionalFormatting sqref="E71">
    <cfRule type="cellIs" dxfId="50" priority="54" operator="greaterThan">
      <formula>2</formula>
    </cfRule>
  </conditionalFormatting>
  <conditionalFormatting sqref="E72">
    <cfRule type="cellIs" dxfId="49" priority="53" operator="greaterThan">
      <formula>2</formula>
    </cfRule>
  </conditionalFormatting>
  <conditionalFormatting sqref="E73">
    <cfRule type="cellIs" dxfId="48" priority="52" operator="greaterThan">
      <formula>2</formula>
    </cfRule>
  </conditionalFormatting>
  <conditionalFormatting sqref="D44">
    <cfRule type="expression" dxfId="47" priority="51">
      <formula>$B$44&gt;0</formula>
    </cfRule>
  </conditionalFormatting>
  <conditionalFormatting sqref="D45">
    <cfRule type="expression" dxfId="46" priority="50">
      <formula>$B$45&gt;0</formula>
    </cfRule>
  </conditionalFormatting>
  <conditionalFormatting sqref="D46">
    <cfRule type="expression" dxfId="45" priority="49">
      <formula>$B$46&gt;0</formula>
    </cfRule>
  </conditionalFormatting>
  <conditionalFormatting sqref="D47">
    <cfRule type="expression" dxfId="44" priority="48">
      <formula>$B$47&gt;0</formula>
    </cfRule>
  </conditionalFormatting>
  <conditionalFormatting sqref="D48">
    <cfRule type="expression" dxfId="43" priority="47">
      <formula>$B$48&gt;0</formula>
    </cfRule>
  </conditionalFormatting>
  <conditionalFormatting sqref="D49">
    <cfRule type="expression" dxfId="42" priority="46">
      <formula>$B$49&gt;0</formula>
    </cfRule>
  </conditionalFormatting>
  <conditionalFormatting sqref="D50">
    <cfRule type="expression" dxfId="41" priority="45">
      <formula>$B$50&gt;0</formula>
    </cfRule>
  </conditionalFormatting>
  <conditionalFormatting sqref="D51">
    <cfRule type="expression" dxfId="40" priority="44">
      <formula>$B$51&gt;0</formula>
    </cfRule>
  </conditionalFormatting>
  <conditionalFormatting sqref="D52">
    <cfRule type="expression" dxfId="39" priority="43">
      <formula>$B$52&gt;0</formula>
    </cfRule>
  </conditionalFormatting>
  <conditionalFormatting sqref="D53">
    <cfRule type="expression" dxfId="38" priority="42">
      <formula>$B$53&gt;0</formula>
    </cfRule>
  </conditionalFormatting>
  <conditionalFormatting sqref="D54">
    <cfRule type="expression" dxfId="37" priority="41">
      <formula>$B$54&gt;0</formula>
    </cfRule>
  </conditionalFormatting>
  <conditionalFormatting sqref="D55">
    <cfRule type="expression" dxfId="36" priority="40">
      <formula>$B$55&gt;0</formula>
    </cfRule>
  </conditionalFormatting>
  <conditionalFormatting sqref="D56">
    <cfRule type="expression" dxfId="35" priority="39">
      <formula>$B$56&gt;0</formula>
    </cfRule>
  </conditionalFormatting>
  <conditionalFormatting sqref="D57">
    <cfRule type="expression" dxfId="34" priority="38">
      <formula>$B$57&gt;0</formula>
    </cfRule>
  </conditionalFormatting>
  <conditionalFormatting sqref="D58">
    <cfRule type="expression" dxfId="33" priority="37">
      <formula>$B$58&gt;0</formula>
    </cfRule>
  </conditionalFormatting>
  <conditionalFormatting sqref="D59">
    <cfRule type="expression" dxfId="32" priority="36">
      <formula>$B$59&gt;0</formula>
    </cfRule>
  </conditionalFormatting>
  <conditionalFormatting sqref="D60">
    <cfRule type="expression" dxfId="31" priority="35">
      <formula>$B$60&gt;0</formula>
    </cfRule>
  </conditionalFormatting>
  <conditionalFormatting sqref="D61">
    <cfRule type="expression" dxfId="30" priority="34">
      <formula>$B$61&gt;0</formula>
    </cfRule>
  </conditionalFormatting>
  <conditionalFormatting sqref="D62">
    <cfRule type="expression" dxfId="29" priority="33">
      <formula>$B$62&gt;0</formula>
    </cfRule>
  </conditionalFormatting>
  <conditionalFormatting sqref="D63">
    <cfRule type="expression" dxfId="28" priority="32">
      <formula>$B$63&gt;0</formula>
    </cfRule>
  </conditionalFormatting>
  <conditionalFormatting sqref="D64">
    <cfRule type="expression" dxfId="27" priority="31">
      <formula>$B$64&gt;0</formula>
    </cfRule>
  </conditionalFormatting>
  <conditionalFormatting sqref="D65">
    <cfRule type="expression" dxfId="26" priority="30">
      <formula>$B$65&gt;0</formula>
    </cfRule>
  </conditionalFormatting>
  <conditionalFormatting sqref="D66">
    <cfRule type="expression" dxfId="25" priority="29">
      <formula>$B$66&gt;0</formula>
    </cfRule>
  </conditionalFormatting>
  <conditionalFormatting sqref="D67">
    <cfRule type="expression" dxfId="24" priority="28">
      <formula>$B$67&gt;0</formula>
    </cfRule>
  </conditionalFormatting>
  <conditionalFormatting sqref="D68">
    <cfRule type="expression" dxfId="23" priority="27">
      <formula>$B$68&gt;0</formula>
    </cfRule>
  </conditionalFormatting>
  <conditionalFormatting sqref="D69">
    <cfRule type="expression" dxfId="22" priority="26">
      <formula>$B$69&gt;0</formula>
    </cfRule>
  </conditionalFormatting>
  <conditionalFormatting sqref="D70">
    <cfRule type="expression" dxfId="21" priority="25">
      <formula>$B$70&gt;0</formula>
    </cfRule>
  </conditionalFormatting>
  <conditionalFormatting sqref="D71">
    <cfRule type="expression" dxfId="20" priority="24">
      <formula>$B$71&gt;0</formula>
    </cfRule>
  </conditionalFormatting>
  <conditionalFormatting sqref="D72">
    <cfRule type="expression" dxfId="19" priority="23">
      <formula>$B$72&gt;0</formula>
    </cfRule>
  </conditionalFormatting>
  <conditionalFormatting sqref="D73">
    <cfRule type="expression" dxfId="18" priority="22">
      <formula>$B$73&gt;0</formula>
    </cfRule>
  </conditionalFormatting>
  <conditionalFormatting sqref="F5">
    <cfRule type="expression" dxfId="17" priority="21">
      <formula>$B$4&gt;=1</formula>
    </cfRule>
  </conditionalFormatting>
  <conditionalFormatting sqref="F6">
    <cfRule type="expression" dxfId="16" priority="17">
      <formula>$B$4&gt;=2</formula>
    </cfRule>
  </conditionalFormatting>
  <conditionalFormatting sqref="F7">
    <cfRule type="expression" dxfId="15" priority="16">
      <formula>$B$4&gt;=5</formula>
    </cfRule>
  </conditionalFormatting>
  <conditionalFormatting sqref="F8">
    <cfRule type="expression" dxfId="14" priority="15">
      <formula>$B$4&gt;=11</formula>
    </cfRule>
  </conditionalFormatting>
  <conditionalFormatting sqref="B20:B23">
    <cfRule type="expression" dxfId="13" priority="14">
      <formula>$B$7&gt;=20</formula>
    </cfRule>
  </conditionalFormatting>
  <conditionalFormatting sqref="B24:B28">
    <cfRule type="expression" dxfId="12" priority="13">
      <formula>$B$7&gt;=25</formula>
    </cfRule>
  </conditionalFormatting>
  <conditionalFormatting sqref="B29:B36">
    <cfRule type="expression" dxfId="11" priority="12">
      <formula>$B$7&gt;=30</formula>
    </cfRule>
  </conditionalFormatting>
  <conditionalFormatting sqref="B22">
    <cfRule type="expression" dxfId="10" priority="11">
      <formula>$B$5&lt;2</formula>
    </cfRule>
  </conditionalFormatting>
  <conditionalFormatting sqref="B23">
    <cfRule type="expression" dxfId="9" priority="10">
      <formula>$B$5&lt;3</formula>
    </cfRule>
  </conditionalFormatting>
  <conditionalFormatting sqref="B26">
    <cfRule type="expression" dxfId="8" priority="9">
      <formula>$B$5&lt;2</formula>
    </cfRule>
  </conditionalFormatting>
  <conditionalFormatting sqref="B27">
    <cfRule type="expression" dxfId="7" priority="8">
      <formula>$B$5&lt;3</formula>
    </cfRule>
  </conditionalFormatting>
  <conditionalFormatting sqref="B28">
    <cfRule type="expression" dxfId="6" priority="7">
      <formula>$B$5&lt;4</formula>
    </cfRule>
  </conditionalFormatting>
  <conditionalFormatting sqref="B31">
    <cfRule type="expression" dxfId="5" priority="6">
      <formula>$B$5&lt;2</formula>
    </cfRule>
  </conditionalFormatting>
  <conditionalFormatting sqref="B32">
    <cfRule type="expression" dxfId="4" priority="5">
      <formula>$B$5&lt;3</formula>
    </cfRule>
  </conditionalFormatting>
  <conditionalFormatting sqref="B33">
    <cfRule type="expression" dxfId="3" priority="4">
      <formula>$B$5&lt;4</formula>
    </cfRule>
  </conditionalFormatting>
  <conditionalFormatting sqref="B34">
    <cfRule type="expression" dxfId="2" priority="3">
      <formula>$B$5&lt;5</formula>
    </cfRule>
  </conditionalFormatting>
  <conditionalFormatting sqref="B35">
    <cfRule type="expression" dxfId="1" priority="2">
      <formula>$B$5&lt;6</formula>
    </cfRule>
  </conditionalFormatting>
  <conditionalFormatting sqref="B36">
    <cfRule type="expression" dxfId="0" priority="1">
      <formula>$B$5&lt;7</formula>
    </cfRule>
  </conditionalFormatting>
  <dataValidations count="1">
    <dataValidation type="list" allowBlank="1" showInputMessage="1" showErrorMessage="1" sqref="C40:C60">
      <formula1>$E$5:$E$8</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1"/>
  <headerFooter>
    <oddHeader>&amp;C&amp;"-,太字"&amp;12前橋市簡易版水理計算シート（一般住宅用）　&amp;R平成31年9月～</oddHeader>
  </headerFooter>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'直管換算表（参考）'!$B$5:$B$26</xm:f>
          </x14:formula1>
          <xm:sqref>A40:A55</xm:sqref>
        </x14:dataValidation>
        <x14:dataValidation type="list" allowBlank="1" showInputMessage="1" showErrorMessage="1">
          <x14:formula1>
            <xm:f>'直管換算表（参考）'!$B$7:$B$26</xm:f>
          </x14:formula1>
          <xm:sqref>A70:A73</xm:sqref>
        </x14:dataValidation>
        <x14:dataValidation type="list" allowBlank="1" showInputMessage="1" showErrorMessage="1">
          <x14:formula1>
            <xm:f>'直管換算表（参考）'!$B$5:$B$19</xm:f>
          </x14:formula1>
          <xm:sqref>A56:A69</xm:sqref>
        </x14:dataValidation>
        <x14:dataValidation type="list" allowBlank="1" showInputMessage="1" showErrorMessage="1">
          <x14:formula1>
            <xm:f>表!$E$3:$E$8</xm:f>
          </x14:formula1>
          <xm:sqref>C61:C73</xm:sqref>
        </x14:dataValidation>
        <x14:dataValidation type="list" allowBlank="1" showInputMessage="1" showErrorMessage="1">
          <x14:formula1>
            <xm:f>表!$E$23:$E$25</xm:f>
          </x14:formula1>
          <xm:sqref>B2</xm:sqref>
        </x14:dataValidation>
        <x14:dataValidation type="list" allowBlank="1" showInputMessage="1" showErrorMessage="1">
          <x14:formula1>
            <xm:f>表!$E$19:$E$20</xm:f>
          </x14:formula1>
          <xm:sqref>B9</xm:sqref>
        </x14:dataValidation>
        <x14:dataValidation type="list" allowBlank="1" showInputMessage="1" showErrorMessage="1">
          <x14:formula1>
            <xm:f>'直管換算表（参考）'!$B$34:$B$36</xm:f>
          </x14:formula1>
          <xm:sqref>B8</xm:sqref>
        </x14:dataValidation>
        <x14:dataValidation type="list" allowBlank="1" showInputMessage="1" showErrorMessage="1">
          <x14:formula1>
            <xm:f>'直管換算表（参考）'!$C$4:$I$4</xm:f>
          </x14:formula1>
          <xm:sqref>B7 B40:B73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7"/>
  <sheetViews>
    <sheetView workbookViewId="0">
      <selection activeCell="B35" sqref="B35"/>
    </sheetView>
  </sheetViews>
  <sheetFormatPr defaultRowHeight="13.5"/>
  <cols>
    <col min="2" max="2" width="20.625" customWidth="1"/>
  </cols>
  <sheetData>
    <row r="2" spans="2:9">
      <c r="B2" t="s">
        <v>4</v>
      </c>
    </row>
    <row r="4" spans="2:9">
      <c r="B4" s="7"/>
      <c r="C4" s="5">
        <v>13</v>
      </c>
      <c r="D4" s="5">
        <v>20</v>
      </c>
      <c r="E4" s="5">
        <v>25</v>
      </c>
      <c r="F4" s="5">
        <v>30</v>
      </c>
      <c r="G4" s="5">
        <v>40</v>
      </c>
      <c r="H4" s="5">
        <v>50</v>
      </c>
      <c r="I4" s="5">
        <v>75</v>
      </c>
    </row>
    <row r="5" spans="2:9">
      <c r="B5" s="7" t="s">
        <v>16</v>
      </c>
      <c r="C5" s="5">
        <v>3</v>
      </c>
      <c r="D5" s="5">
        <v>8</v>
      </c>
      <c r="E5" s="5">
        <v>8</v>
      </c>
      <c r="F5" s="5" t="s">
        <v>6</v>
      </c>
      <c r="G5" s="5" t="s">
        <v>6</v>
      </c>
      <c r="H5" s="5" t="s">
        <v>6</v>
      </c>
      <c r="I5" s="5" t="s">
        <v>6</v>
      </c>
    </row>
    <row r="6" spans="2:9">
      <c r="B6" s="9" t="s">
        <v>17</v>
      </c>
      <c r="C6" s="5">
        <v>2.4</v>
      </c>
      <c r="D6" s="5">
        <v>3.6</v>
      </c>
      <c r="E6" s="5">
        <v>4.5</v>
      </c>
      <c r="F6" s="5" t="s">
        <v>6</v>
      </c>
      <c r="G6" s="5" t="s">
        <v>6</v>
      </c>
      <c r="H6" s="5" t="s">
        <v>6</v>
      </c>
      <c r="I6" s="5" t="s">
        <v>6</v>
      </c>
    </row>
    <row r="7" spans="2:9">
      <c r="B7" s="8" t="s">
        <v>10</v>
      </c>
      <c r="C7" s="5">
        <v>0.5</v>
      </c>
      <c r="D7" s="5">
        <v>0.5</v>
      </c>
      <c r="E7" s="5">
        <v>0.5</v>
      </c>
      <c r="F7" s="5">
        <v>0.8</v>
      </c>
      <c r="G7" s="5">
        <v>0.8</v>
      </c>
      <c r="H7" s="5">
        <v>1.2</v>
      </c>
      <c r="I7" s="5" t="s">
        <v>6</v>
      </c>
    </row>
    <row r="8" spans="2:9">
      <c r="B8" s="8" t="s">
        <v>13</v>
      </c>
      <c r="C8" s="5" t="s">
        <v>6</v>
      </c>
      <c r="D8" s="5">
        <v>1.1000000000000001</v>
      </c>
      <c r="E8" s="5">
        <v>1</v>
      </c>
      <c r="F8" s="5">
        <v>1.3</v>
      </c>
      <c r="G8" s="5">
        <v>1.6</v>
      </c>
      <c r="H8" s="5">
        <v>2.1</v>
      </c>
      <c r="I8" s="5">
        <v>3.2</v>
      </c>
    </row>
    <row r="9" spans="2:9">
      <c r="B9" s="8" t="s">
        <v>11</v>
      </c>
      <c r="C9" s="5">
        <v>0.5</v>
      </c>
      <c r="D9" s="5">
        <v>0.5</v>
      </c>
      <c r="E9" s="5">
        <v>1</v>
      </c>
      <c r="F9" s="5">
        <v>1</v>
      </c>
      <c r="G9" s="5">
        <v>1</v>
      </c>
      <c r="H9" s="5">
        <v>1.5</v>
      </c>
      <c r="I9" s="5" t="s">
        <v>6</v>
      </c>
    </row>
    <row r="10" spans="2:9">
      <c r="B10" s="8" t="s">
        <v>14</v>
      </c>
      <c r="C10" s="5" t="s">
        <v>6</v>
      </c>
      <c r="D10" s="5">
        <v>1.1000000000000001</v>
      </c>
      <c r="E10" s="5">
        <v>1.2</v>
      </c>
      <c r="F10" s="5" t="s">
        <v>6</v>
      </c>
      <c r="G10" s="5">
        <v>2</v>
      </c>
      <c r="H10" s="5">
        <v>2.6</v>
      </c>
      <c r="I10" s="5">
        <v>3.1</v>
      </c>
    </row>
    <row r="11" spans="2:9">
      <c r="B11" s="8" t="s">
        <v>12</v>
      </c>
      <c r="C11" s="5" t="s">
        <v>6</v>
      </c>
      <c r="D11" s="5" t="s">
        <v>6</v>
      </c>
      <c r="E11" s="5" t="s">
        <v>6</v>
      </c>
      <c r="F11" s="5">
        <v>1</v>
      </c>
      <c r="G11" s="5">
        <v>1</v>
      </c>
      <c r="H11" s="5">
        <v>1.5</v>
      </c>
      <c r="I11" s="5" t="s">
        <v>6</v>
      </c>
    </row>
    <row r="12" spans="2:9">
      <c r="B12" s="8" t="s">
        <v>15</v>
      </c>
      <c r="C12" s="5" t="s">
        <v>6</v>
      </c>
      <c r="D12" s="5">
        <v>2.6</v>
      </c>
      <c r="E12" s="5">
        <v>2.4</v>
      </c>
      <c r="F12" s="5">
        <v>4</v>
      </c>
      <c r="G12" s="5">
        <v>3</v>
      </c>
      <c r="H12" s="5">
        <v>3.5</v>
      </c>
      <c r="I12" s="5" t="s">
        <v>6</v>
      </c>
    </row>
    <row r="13" spans="2:9">
      <c r="B13" s="8" t="s">
        <v>18</v>
      </c>
      <c r="C13" s="5">
        <v>3.5</v>
      </c>
      <c r="D13" s="5">
        <v>2.2999999999999998</v>
      </c>
      <c r="E13" s="5">
        <v>1.7</v>
      </c>
      <c r="F13" s="5">
        <v>1.3</v>
      </c>
      <c r="G13" s="5">
        <v>1.7</v>
      </c>
      <c r="H13" s="5">
        <v>1.9</v>
      </c>
      <c r="I13" s="5" t="s">
        <v>6</v>
      </c>
    </row>
    <row r="14" spans="2:9">
      <c r="B14" s="8" t="s">
        <v>19</v>
      </c>
      <c r="C14" s="5">
        <v>0.12</v>
      </c>
      <c r="D14" s="5">
        <v>0.15</v>
      </c>
      <c r="E14" s="5">
        <v>0.18</v>
      </c>
      <c r="F14" s="5">
        <v>0.24</v>
      </c>
      <c r="G14" s="5">
        <v>0.3</v>
      </c>
      <c r="H14" s="5">
        <v>0.39</v>
      </c>
      <c r="I14" s="5">
        <v>0.63</v>
      </c>
    </row>
    <row r="15" spans="2:9">
      <c r="B15" s="8" t="s">
        <v>20</v>
      </c>
      <c r="C15" s="5">
        <v>4.5</v>
      </c>
      <c r="D15" s="5">
        <v>6</v>
      </c>
      <c r="E15" s="5">
        <v>7.5</v>
      </c>
      <c r="F15" s="5">
        <v>10.5</v>
      </c>
      <c r="G15" s="5">
        <v>13.5</v>
      </c>
      <c r="H15" s="5">
        <v>16.5</v>
      </c>
      <c r="I15" s="5" t="s">
        <v>6</v>
      </c>
    </row>
    <row r="16" spans="2:9">
      <c r="B16" s="8" t="s">
        <v>21</v>
      </c>
      <c r="C16" s="5">
        <v>5.5</v>
      </c>
      <c r="D16" s="5">
        <v>2.7</v>
      </c>
      <c r="E16" s="5">
        <v>2.9</v>
      </c>
      <c r="F16" s="5">
        <v>3.2</v>
      </c>
      <c r="G16" s="5">
        <v>2.6</v>
      </c>
      <c r="H16" s="5">
        <v>3.7</v>
      </c>
      <c r="I16" s="5" t="s">
        <v>6</v>
      </c>
    </row>
    <row r="17" spans="2:9">
      <c r="B17" s="8" t="s">
        <v>22</v>
      </c>
      <c r="C17" s="5">
        <v>1.2</v>
      </c>
      <c r="D17" s="5">
        <v>1.6</v>
      </c>
      <c r="E17" s="5">
        <v>2</v>
      </c>
      <c r="F17" s="5">
        <v>2.5</v>
      </c>
      <c r="G17" s="5">
        <v>3.1</v>
      </c>
      <c r="H17" s="5">
        <v>4</v>
      </c>
      <c r="I17" s="5" t="s">
        <v>6</v>
      </c>
    </row>
    <row r="18" spans="2:9">
      <c r="B18" s="8" t="s">
        <v>23</v>
      </c>
      <c r="C18" s="5">
        <v>1.5</v>
      </c>
      <c r="D18" s="5">
        <v>3</v>
      </c>
      <c r="E18" s="5">
        <v>3.5</v>
      </c>
      <c r="F18" s="5">
        <v>5.5</v>
      </c>
      <c r="G18" s="5">
        <v>7.5</v>
      </c>
      <c r="H18" s="5">
        <v>8</v>
      </c>
      <c r="I18" s="5">
        <v>26</v>
      </c>
    </row>
    <row r="19" spans="2:9">
      <c r="B19" s="8" t="s">
        <v>24</v>
      </c>
      <c r="C19" s="5">
        <v>1.5</v>
      </c>
      <c r="D19" s="5">
        <v>2</v>
      </c>
      <c r="E19" s="5">
        <v>3</v>
      </c>
      <c r="F19" s="5">
        <v>3</v>
      </c>
      <c r="G19" s="5">
        <v>3</v>
      </c>
      <c r="H19" s="5">
        <v>3</v>
      </c>
      <c r="I19" s="5" t="s">
        <v>25</v>
      </c>
    </row>
    <row r="20" spans="2:9">
      <c r="B20" s="8" t="s">
        <v>5</v>
      </c>
      <c r="C20" s="5">
        <v>3.5</v>
      </c>
      <c r="D20" s="5">
        <v>9</v>
      </c>
      <c r="E20" s="5">
        <v>15</v>
      </c>
      <c r="F20" s="5">
        <v>17</v>
      </c>
      <c r="G20" s="5">
        <v>24</v>
      </c>
      <c r="H20" s="5">
        <v>25</v>
      </c>
      <c r="I20" s="5" t="s">
        <v>39</v>
      </c>
    </row>
    <row r="21" spans="2:9">
      <c r="B21" s="8" t="s">
        <v>64</v>
      </c>
      <c r="C21" s="5" t="s">
        <v>6</v>
      </c>
      <c r="D21" s="5">
        <v>4</v>
      </c>
      <c r="E21" s="5">
        <v>4</v>
      </c>
      <c r="F21" s="5">
        <v>6</v>
      </c>
      <c r="G21" s="5">
        <v>8</v>
      </c>
      <c r="H21" s="5">
        <v>14</v>
      </c>
      <c r="I21" s="5" t="s">
        <v>6</v>
      </c>
    </row>
    <row r="22" spans="2:9">
      <c r="B22" s="8" t="s">
        <v>7</v>
      </c>
      <c r="C22" s="5" t="s">
        <v>6</v>
      </c>
      <c r="D22" s="5" t="s">
        <v>6</v>
      </c>
      <c r="E22" s="5">
        <v>2</v>
      </c>
      <c r="F22" s="5">
        <v>4</v>
      </c>
      <c r="G22" s="5">
        <v>10</v>
      </c>
      <c r="H22" s="5">
        <v>15</v>
      </c>
      <c r="I22" s="5" t="s">
        <v>6</v>
      </c>
    </row>
    <row r="23" spans="2:9">
      <c r="B23" s="8" t="s">
        <v>8</v>
      </c>
      <c r="C23" s="5" t="s">
        <v>6</v>
      </c>
      <c r="D23" s="5" t="s">
        <v>6</v>
      </c>
      <c r="E23" s="5">
        <v>1.5</v>
      </c>
      <c r="F23" s="5" t="s">
        <v>6</v>
      </c>
      <c r="G23" s="5" t="s">
        <v>6</v>
      </c>
      <c r="H23" s="5">
        <v>3</v>
      </c>
      <c r="I23" s="5">
        <v>9</v>
      </c>
    </row>
    <row r="24" spans="2:9">
      <c r="B24" s="8" t="s">
        <v>9</v>
      </c>
      <c r="C24" s="5">
        <v>1.5</v>
      </c>
      <c r="D24" s="5" t="s">
        <v>6</v>
      </c>
      <c r="E24" s="5" t="s">
        <v>6</v>
      </c>
      <c r="F24" s="5" t="s">
        <v>6</v>
      </c>
      <c r="G24" s="5" t="s">
        <v>6</v>
      </c>
      <c r="H24" s="5" t="s">
        <v>6</v>
      </c>
      <c r="I24" s="5" t="s">
        <v>6</v>
      </c>
    </row>
    <row r="25" spans="2:9">
      <c r="B25" s="8" t="s">
        <v>26</v>
      </c>
      <c r="C25" s="5">
        <v>1.5</v>
      </c>
      <c r="D25" s="5">
        <v>2</v>
      </c>
      <c r="E25" s="5">
        <v>3</v>
      </c>
      <c r="F25" s="5">
        <v>3</v>
      </c>
      <c r="G25" s="5">
        <v>3</v>
      </c>
      <c r="H25" s="5">
        <v>3</v>
      </c>
      <c r="I25" s="5" t="s">
        <v>25</v>
      </c>
    </row>
    <row r="26" spans="2:9">
      <c r="B26" s="8" t="s">
        <v>2</v>
      </c>
      <c r="C26" s="5">
        <v>2.5</v>
      </c>
      <c r="D26" s="5">
        <v>2</v>
      </c>
      <c r="E26" s="5">
        <v>3</v>
      </c>
      <c r="F26" s="5">
        <v>5</v>
      </c>
      <c r="G26" s="5">
        <v>8</v>
      </c>
      <c r="H26" s="5">
        <v>12</v>
      </c>
      <c r="I26" s="5" t="s">
        <v>25</v>
      </c>
    </row>
    <row r="28" spans="2:9">
      <c r="B28" t="s">
        <v>27</v>
      </c>
    </row>
    <row r="29" spans="2:9">
      <c r="B29" s="6" t="s">
        <v>28</v>
      </c>
      <c r="C29" s="221" t="s">
        <v>29</v>
      </c>
      <c r="D29" s="221"/>
      <c r="E29" s="221" t="s">
        <v>30</v>
      </c>
      <c r="F29" s="221"/>
      <c r="G29" s="221"/>
      <c r="H29" s="221"/>
      <c r="I29" s="221"/>
    </row>
    <row r="30" spans="2:9">
      <c r="B30" s="6" t="s">
        <v>31</v>
      </c>
      <c r="C30" s="221">
        <v>1</v>
      </c>
      <c r="D30" s="221"/>
      <c r="E30" s="221" t="s">
        <v>32</v>
      </c>
      <c r="F30" s="221"/>
      <c r="G30" s="221"/>
      <c r="H30" s="221"/>
      <c r="I30" s="221"/>
    </row>
    <row r="31" spans="2:9">
      <c r="B31" s="4"/>
      <c r="C31" s="4"/>
      <c r="D31" s="4"/>
      <c r="E31" s="4"/>
      <c r="F31" s="4"/>
      <c r="G31" s="4"/>
      <c r="H31" s="4"/>
      <c r="I31" s="4"/>
    </row>
    <row r="32" spans="2:9">
      <c r="B32" t="s">
        <v>33</v>
      </c>
    </row>
    <row r="33" spans="2:9">
      <c r="B33" s="6" t="s">
        <v>28</v>
      </c>
      <c r="C33" s="221" t="s">
        <v>34</v>
      </c>
      <c r="D33" s="221"/>
      <c r="E33" s="191" t="s">
        <v>30</v>
      </c>
      <c r="F33" s="222"/>
      <c r="G33" s="222"/>
      <c r="H33" s="222"/>
      <c r="I33" s="192"/>
    </row>
    <row r="34" spans="2:9">
      <c r="B34" s="6" t="s">
        <v>35</v>
      </c>
      <c r="C34" s="221">
        <v>7</v>
      </c>
      <c r="D34" s="221"/>
      <c r="E34" s="221" t="s">
        <v>36</v>
      </c>
      <c r="F34" s="221"/>
      <c r="G34" s="221"/>
      <c r="H34" s="221"/>
      <c r="I34" s="221"/>
    </row>
    <row r="35" spans="2:9">
      <c r="B35" s="6" t="s">
        <v>37</v>
      </c>
      <c r="C35" s="221">
        <v>5</v>
      </c>
      <c r="D35" s="221"/>
      <c r="E35" s="221" t="s">
        <v>36</v>
      </c>
      <c r="F35" s="221"/>
      <c r="G35" s="221"/>
      <c r="H35" s="221"/>
      <c r="I35" s="221"/>
    </row>
    <row r="36" spans="2:9">
      <c r="B36" s="6" t="s">
        <v>38</v>
      </c>
      <c r="C36" s="221">
        <v>7</v>
      </c>
      <c r="D36" s="221"/>
      <c r="E36" s="221" t="s">
        <v>36</v>
      </c>
      <c r="F36" s="221"/>
      <c r="G36" s="221"/>
      <c r="H36" s="221"/>
      <c r="I36" s="221"/>
    </row>
    <row r="37" spans="2:9">
      <c r="B37" s="4"/>
      <c r="C37" s="4"/>
      <c r="D37" s="4"/>
      <c r="E37" s="4"/>
      <c r="F37" s="4"/>
      <c r="G37" s="4"/>
      <c r="H37" s="4"/>
      <c r="I37" s="4"/>
    </row>
  </sheetData>
  <sheetProtection algorithmName="SHA-512" hashValue="Dgzgnuia+pZygQRlb57vgU71kjYc3/Sjp+nDiOlBvkIfbHQsU+kQF3ul9zFPPfidU+qyb5BnbmG+EmOivmHTfQ==" saltValue="+Gbpx4qCDtrVo9KUyp7QXA==" spinCount="100000" sheet="1" objects="1" scenarios="1"/>
  <mergeCells count="12">
    <mergeCell ref="C33:D33"/>
    <mergeCell ref="E33:I33"/>
    <mergeCell ref="C29:D29"/>
    <mergeCell ref="E29:I29"/>
    <mergeCell ref="C30:D30"/>
    <mergeCell ref="E30:I30"/>
    <mergeCell ref="C36:D36"/>
    <mergeCell ref="E36:I36"/>
    <mergeCell ref="C34:D34"/>
    <mergeCell ref="E34:I34"/>
    <mergeCell ref="C35:D35"/>
    <mergeCell ref="E35:I3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workbookViewId="0">
      <selection activeCell="K19" sqref="K19"/>
    </sheetView>
  </sheetViews>
  <sheetFormatPr defaultRowHeight="13.5"/>
  <cols>
    <col min="2" max="2" width="9.5" bestFit="1" customWidth="1"/>
    <col min="4" max="4" width="2.625" customWidth="1"/>
  </cols>
  <sheetData>
    <row r="1" spans="2:8" ht="14.25" thickBot="1"/>
    <row r="2" spans="2:8">
      <c r="B2" s="21" t="s">
        <v>77</v>
      </c>
      <c r="C2" s="21" t="s">
        <v>72</v>
      </c>
      <c r="D2" s="21"/>
      <c r="E2" s="128" t="s">
        <v>72</v>
      </c>
      <c r="F2" s="129" t="s">
        <v>70</v>
      </c>
      <c r="G2" s="21" t="s">
        <v>71</v>
      </c>
      <c r="H2" s="21" t="s">
        <v>69</v>
      </c>
    </row>
    <row r="3" spans="2:8">
      <c r="B3" s="1">
        <v>1</v>
      </c>
      <c r="C3" s="1">
        <v>1</v>
      </c>
      <c r="E3" s="130">
        <v>1</v>
      </c>
      <c r="F3" s="131">
        <v>12</v>
      </c>
      <c r="G3" s="127">
        <v>13</v>
      </c>
      <c r="H3" s="28">
        <f>(F3/1000/60)/((G3/1000)^2*PI()/4)</f>
        <v>1.5067923606333291</v>
      </c>
    </row>
    <row r="4" spans="2:8">
      <c r="B4" s="1">
        <v>2</v>
      </c>
      <c r="C4" s="1">
        <v>2</v>
      </c>
      <c r="E4" s="130">
        <v>2</v>
      </c>
      <c r="F4" s="131">
        <v>24</v>
      </c>
      <c r="G4" s="127">
        <v>20</v>
      </c>
      <c r="H4" s="28">
        <f>(F4/1000/60)/((G4/1000)^2*PI()/4)</f>
        <v>1.2732395447351628</v>
      </c>
    </row>
    <row r="5" spans="2:8">
      <c r="B5" s="1">
        <v>3</v>
      </c>
      <c r="C5" s="1">
        <v>2</v>
      </c>
      <c r="E5" s="130">
        <v>3</v>
      </c>
      <c r="F5" s="131">
        <f>E5*12</f>
        <v>36</v>
      </c>
      <c r="G5" s="127">
        <v>20</v>
      </c>
      <c r="H5" s="28">
        <f t="shared" ref="H5:H15" si="0">(F5/1000/60)/((G5/1000)^2*PI()/4)</f>
        <v>1.909859317102744</v>
      </c>
    </row>
    <row r="6" spans="2:8">
      <c r="B6" s="1">
        <v>4</v>
      </c>
      <c r="C6" s="1">
        <v>2</v>
      </c>
      <c r="E6" s="130">
        <v>4</v>
      </c>
      <c r="F6" s="131">
        <f t="shared" ref="F6:F15" si="1">E6*12</f>
        <v>48</v>
      </c>
      <c r="G6" s="127">
        <v>25</v>
      </c>
      <c r="H6" s="28">
        <f t="shared" si="0"/>
        <v>1.6297466172610082</v>
      </c>
    </row>
    <row r="7" spans="2:8">
      <c r="B7" s="1">
        <v>5</v>
      </c>
      <c r="C7" s="1">
        <v>3</v>
      </c>
      <c r="E7" s="130">
        <v>5</v>
      </c>
      <c r="F7" s="131">
        <f t="shared" si="1"/>
        <v>60</v>
      </c>
      <c r="G7" s="127">
        <v>30</v>
      </c>
      <c r="H7" s="28">
        <f t="shared" si="0"/>
        <v>1.4147106052612921</v>
      </c>
    </row>
    <row r="8" spans="2:8">
      <c r="B8" s="1">
        <v>6</v>
      </c>
      <c r="C8" s="1">
        <v>3</v>
      </c>
      <c r="E8" s="130">
        <v>6</v>
      </c>
      <c r="F8" s="131">
        <f t="shared" si="1"/>
        <v>72</v>
      </c>
      <c r="G8" s="127">
        <v>30</v>
      </c>
      <c r="H8" s="28">
        <f t="shared" si="0"/>
        <v>1.6976527263135504</v>
      </c>
    </row>
    <row r="9" spans="2:8">
      <c r="B9" s="1">
        <v>7</v>
      </c>
      <c r="C9" s="1">
        <v>3</v>
      </c>
      <c r="E9" s="130">
        <v>7</v>
      </c>
      <c r="F9" s="131">
        <f t="shared" si="1"/>
        <v>84</v>
      </c>
      <c r="G9" s="127">
        <v>30</v>
      </c>
      <c r="H9" s="28">
        <f t="shared" si="0"/>
        <v>1.9805948473658088</v>
      </c>
    </row>
    <row r="10" spans="2:8">
      <c r="B10" s="1">
        <v>8</v>
      </c>
      <c r="C10" s="1">
        <v>3</v>
      </c>
      <c r="E10" s="130">
        <v>8</v>
      </c>
      <c r="F10" s="131">
        <f t="shared" si="1"/>
        <v>96</v>
      </c>
      <c r="G10" s="127">
        <v>40</v>
      </c>
      <c r="H10" s="28">
        <f t="shared" si="0"/>
        <v>1.2732395447351628</v>
      </c>
    </row>
    <row r="11" spans="2:8">
      <c r="B11" s="1">
        <v>9</v>
      </c>
      <c r="C11" s="1">
        <v>3</v>
      </c>
      <c r="E11" s="130">
        <v>9</v>
      </c>
      <c r="F11" s="131">
        <f t="shared" si="1"/>
        <v>108</v>
      </c>
      <c r="G11" s="127">
        <v>40</v>
      </c>
      <c r="H11" s="28">
        <f t="shared" si="0"/>
        <v>1.432394487827058</v>
      </c>
    </row>
    <row r="12" spans="2:8">
      <c r="B12" s="1">
        <v>10</v>
      </c>
      <c r="C12" s="1">
        <v>3</v>
      </c>
      <c r="E12" s="130">
        <v>10</v>
      </c>
      <c r="F12" s="131">
        <f t="shared" si="1"/>
        <v>120</v>
      </c>
      <c r="G12" s="127">
        <v>40</v>
      </c>
      <c r="H12" s="28">
        <f t="shared" si="0"/>
        <v>1.5915494309189535</v>
      </c>
    </row>
    <row r="13" spans="2:8">
      <c r="B13" s="1">
        <v>11</v>
      </c>
      <c r="C13" s="1">
        <v>4</v>
      </c>
      <c r="E13" s="130">
        <v>11</v>
      </c>
      <c r="F13" s="131">
        <f t="shared" si="1"/>
        <v>132</v>
      </c>
      <c r="G13" s="127">
        <v>40</v>
      </c>
      <c r="H13" s="28">
        <f t="shared" si="0"/>
        <v>1.7507043740108488</v>
      </c>
    </row>
    <row r="14" spans="2:8">
      <c r="B14" s="1">
        <v>12</v>
      </c>
      <c r="C14" s="1">
        <v>4</v>
      </c>
      <c r="E14" s="130">
        <v>12</v>
      </c>
      <c r="F14" s="131">
        <f t="shared" si="1"/>
        <v>144</v>
      </c>
      <c r="G14" s="127">
        <v>40</v>
      </c>
      <c r="H14" s="28">
        <f t="shared" si="0"/>
        <v>1.909859317102744</v>
      </c>
    </row>
    <row r="15" spans="2:8" ht="14.25" thickBot="1">
      <c r="B15" s="1">
        <v>13</v>
      </c>
      <c r="C15" s="1">
        <v>4</v>
      </c>
      <c r="E15" s="132">
        <v>13</v>
      </c>
      <c r="F15" s="133">
        <f t="shared" si="1"/>
        <v>156</v>
      </c>
      <c r="G15" s="127">
        <v>50</v>
      </c>
      <c r="H15" s="28">
        <f t="shared" si="0"/>
        <v>1.324169126524569</v>
      </c>
    </row>
    <row r="16" spans="2:8">
      <c r="B16" s="1">
        <v>14</v>
      </c>
      <c r="C16" s="1">
        <v>4</v>
      </c>
    </row>
    <row r="17" spans="2:8">
      <c r="B17" s="1">
        <v>15</v>
      </c>
      <c r="C17" s="1">
        <v>4</v>
      </c>
    </row>
    <row r="18" spans="2:8">
      <c r="B18" s="1">
        <v>16</v>
      </c>
      <c r="C18" s="1">
        <v>5</v>
      </c>
      <c r="E18" t="s">
        <v>74</v>
      </c>
      <c r="G18" s="21" t="s">
        <v>86</v>
      </c>
    </row>
    <row r="19" spans="2:8">
      <c r="B19" s="1">
        <v>17</v>
      </c>
      <c r="C19" s="1">
        <v>5</v>
      </c>
      <c r="E19" s="16" t="s">
        <v>54</v>
      </c>
      <c r="G19" s="57">
        <v>0</v>
      </c>
    </row>
    <row r="20" spans="2:8">
      <c r="B20" s="1">
        <v>18</v>
      </c>
      <c r="C20" s="1">
        <v>5</v>
      </c>
      <c r="E20" s="16" t="s">
        <v>55</v>
      </c>
    </row>
    <row r="21" spans="2:8">
      <c r="B21" s="1">
        <v>19</v>
      </c>
      <c r="C21" s="1">
        <v>5</v>
      </c>
    </row>
    <row r="22" spans="2:8">
      <c r="B22" s="1">
        <v>20</v>
      </c>
      <c r="C22" s="1">
        <v>5</v>
      </c>
      <c r="E22" t="s">
        <v>75</v>
      </c>
      <c r="F22" t="s">
        <v>76</v>
      </c>
    </row>
    <row r="23" spans="2:8">
      <c r="B23" s="1">
        <v>21</v>
      </c>
      <c r="C23" s="1">
        <v>6</v>
      </c>
      <c r="E23" s="1">
        <v>1</v>
      </c>
      <c r="F23" s="1">
        <v>2</v>
      </c>
      <c r="H23" s="27"/>
    </row>
    <row r="24" spans="2:8">
      <c r="B24" s="1">
        <v>22</v>
      </c>
      <c r="C24" s="1">
        <v>6</v>
      </c>
      <c r="E24" s="1">
        <v>2</v>
      </c>
      <c r="F24" s="1">
        <v>5</v>
      </c>
    </row>
    <row r="25" spans="2:8">
      <c r="B25" s="1">
        <v>23</v>
      </c>
      <c r="C25" s="1">
        <v>6</v>
      </c>
      <c r="E25" s="1">
        <v>3</v>
      </c>
      <c r="F25" s="1">
        <v>9</v>
      </c>
    </row>
    <row r="26" spans="2:8">
      <c r="B26" s="1">
        <v>24</v>
      </c>
      <c r="C26" s="1">
        <v>6</v>
      </c>
    </row>
    <row r="27" spans="2:8">
      <c r="B27" s="1">
        <v>25</v>
      </c>
      <c r="C27" s="1">
        <v>6</v>
      </c>
    </row>
    <row r="28" spans="2:8">
      <c r="B28" s="1">
        <v>26</v>
      </c>
      <c r="C28" s="1">
        <v>6</v>
      </c>
    </row>
    <row r="29" spans="2:8">
      <c r="B29" s="1">
        <v>27</v>
      </c>
      <c r="C29" s="1">
        <v>6</v>
      </c>
    </row>
    <row r="30" spans="2:8">
      <c r="B30" s="1">
        <v>28</v>
      </c>
      <c r="C30" s="1">
        <v>6</v>
      </c>
    </row>
    <row r="31" spans="2:8">
      <c r="B31" s="1">
        <v>29</v>
      </c>
      <c r="C31" s="1">
        <v>6</v>
      </c>
    </row>
    <row r="32" spans="2:8">
      <c r="B32" s="1">
        <v>30</v>
      </c>
      <c r="C32" s="1">
        <v>6</v>
      </c>
    </row>
  </sheetData>
  <sheetProtection algorithmName="SHA-512" hashValue="rUtkb3C6aivpg5dcVbKfZSFytpco5cNg68ngpehAQ6a8ejQxalMTFUASjbqMxIE3KcMJqZm5GW2NXQ6dk+A5og==" saltValue="mRMCVq6VAHz4K1zArF0qcg=="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G36" sqref="G36"/>
    </sheetView>
  </sheetViews>
  <sheetFormatPr defaultRowHeight="13.5"/>
  <cols>
    <col min="3" max="3" width="20.625" customWidth="1"/>
  </cols>
  <sheetData>
    <row r="1" spans="1:3">
      <c r="A1" t="s">
        <v>97</v>
      </c>
    </row>
    <row r="2" spans="1:3" s="17" customFormat="1">
      <c r="A2" s="135" t="s">
        <v>99</v>
      </c>
      <c r="B2" s="135" t="s">
        <v>98</v>
      </c>
      <c r="C2" s="135" t="s">
        <v>100</v>
      </c>
    </row>
    <row r="3" spans="1:3">
      <c r="A3" s="1">
        <v>1</v>
      </c>
      <c r="B3" s="136">
        <v>43179</v>
      </c>
      <c r="C3" s="1" t="s">
        <v>101</v>
      </c>
    </row>
    <row r="4" spans="1:3">
      <c r="A4" s="1">
        <v>2</v>
      </c>
      <c r="B4" s="136">
        <v>43739</v>
      </c>
      <c r="C4" s="1" t="s">
        <v>111</v>
      </c>
    </row>
    <row r="5" spans="1:3">
      <c r="A5" s="1"/>
      <c r="B5" s="1"/>
      <c r="C5" s="1"/>
    </row>
    <row r="6" spans="1:3">
      <c r="A6" s="1"/>
      <c r="B6" s="1"/>
      <c r="C6" s="1"/>
    </row>
  </sheetData>
  <sheetProtection algorithmName="SHA-512" hashValue="HgDvENn4+jrxSfBGa+4OLk7vfKZN0MbMQaZbCL0Yiv21lt1OSJZGFU1F4ShewJiQwsRU9GOpJoAgCY8UnhJBEA==" saltValue="Ji0f3xYH7PwVn8ZnBnC9Y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入力用紙①</vt:lpstr>
      <vt:lpstr>(記入例20㎜OK)</vt:lpstr>
      <vt:lpstr> (記入例13㎜NG) </vt:lpstr>
      <vt:lpstr>入力用紙② (使用水量入力)</vt:lpstr>
      <vt:lpstr>直管換算表（参考）</vt:lpstr>
      <vt:lpstr>表</vt:lpstr>
      <vt:lpstr>更新履歴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前橋市水道局水道整備課</dc:creator>
  <cp:lastModifiedBy>201810</cp:lastModifiedBy>
  <cp:lastPrinted>2019-09-26T08:11:37Z</cp:lastPrinted>
  <dcterms:created xsi:type="dcterms:W3CDTF">2018-08-09T04:21:35Z</dcterms:created>
  <dcterms:modified xsi:type="dcterms:W3CDTF">2019-09-26T08:11:54Z</dcterms:modified>
</cp:coreProperties>
</file>