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02sv013\水道整備課\○◎新設フォルダ◎○\04 給水装置係\ﾏ_窓口事務関係\水理計算シート\R8.4.1修正\"/>
    </mc:Choice>
  </mc:AlternateContent>
  <bookViews>
    <workbookView xWindow="-15" yWindow="0" windowWidth="10080" windowHeight="11370"/>
  </bookViews>
  <sheets>
    <sheet name="はじめに" sheetId="19" r:id="rId1"/>
    <sheet name="①設計シート（同時使用率1・２F）" sheetId="6" r:id="rId2"/>
    <sheet name="②設計シート（戸数1・２F）" sheetId="15" r:id="rId3"/>
    <sheet name="③設計シート（居住人数1・２F）" sheetId="17" r:id="rId4"/>
    <sheet name="①設計シート（同時使用率３F）" sheetId="13" r:id="rId5"/>
    <sheet name="②設計シート（戸数３F）" sheetId="16" r:id="rId6"/>
    <sheet name="③設計シート（居住人数３F）" sheetId="18" r:id="rId7"/>
    <sheet name="参考" sheetId="12" r:id="rId8"/>
    <sheet name="直管換算表（参考）" sheetId="2" r:id="rId9"/>
    <sheet name="表" sheetId="3" r:id="rId10"/>
    <sheet name="更新履歴" sheetId="20" r:id="rId11"/>
  </sheets>
  <definedNames>
    <definedName name="_xlnm.Print_Area" localSheetId="1">'①設計シート（同時使用率1・２F）'!$A$1:$I$97</definedName>
    <definedName name="_xlnm.Print_Area" localSheetId="4">'①設計シート（同時使用率３F）'!$A$1:$I$143</definedName>
    <definedName name="_xlnm.Print_Area" localSheetId="2">'②設計シート（戸数1・２F）'!$A$1:$I$95</definedName>
    <definedName name="_xlnm.Print_Area" localSheetId="5">'②設計シート（戸数３F）'!$A$1:$I$141</definedName>
    <definedName name="_xlnm.Print_Area" localSheetId="3">'③設計シート（居住人数1・２F）'!$A$1:$I$97</definedName>
    <definedName name="_xlnm.Print_Area" localSheetId="6">'③設計シート（居住人数３F）'!$A$1:$I$143</definedName>
  </definedNames>
  <calcPr calcId="162913"/>
</workbook>
</file>

<file path=xl/calcChain.xml><?xml version="1.0" encoding="utf-8"?>
<calcChain xmlns="http://schemas.openxmlformats.org/spreadsheetml/2006/main">
  <c r="D34" i="13" l="1"/>
  <c r="D10" i="13"/>
  <c r="D17" i="6" l="1"/>
  <c r="H119" i="13" l="1"/>
  <c r="A91" i="16"/>
  <c r="A92" i="16"/>
  <c r="A93" i="16"/>
  <c r="A94" i="16"/>
  <c r="A95" i="16"/>
  <c r="A96" i="16"/>
  <c r="H91" i="16"/>
  <c r="H92" i="16"/>
  <c r="B109" i="18" l="1"/>
  <c r="G12" i="15" l="1"/>
  <c r="B29" i="15"/>
  <c r="H74" i="6" l="1"/>
  <c r="I132" i="18" l="1"/>
  <c r="I131" i="18"/>
  <c r="D130" i="18"/>
  <c r="H119" i="18"/>
  <c r="B110" i="18"/>
  <c r="B111" i="18"/>
  <c r="B112" i="18"/>
  <c r="B113" i="18"/>
  <c r="B114" i="18"/>
  <c r="B115" i="18"/>
  <c r="B116" i="18"/>
  <c r="B117" i="18"/>
  <c r="B118" i="18"/>
  <c r="B119" i="18"/>
  <c r="B120" i="18"/>
  <c r="B121" i="18"/>
  <c r="B122" i="18"/>
  <c r="B123" i="18"/>
  <c r="B124" i="18"/>
  <c r="B125" i="18"/>
  <c r="B126" i="18"/>
  <c r="B127" i="18"/>
  <c r="B128" i="18"/>
  <c r="B129" i="18"/>
  <c r="A110" i="18"/>
  <c r="A111" i="18"/>
  <c r="A112" i="18"/>
  <c r="A113" i="18"/>
  <c r="A114" i="18"/>
  <c r="A115" i="18"/>
  <c r="A116" i="18"/>
  <c r="A117" i="18"/>
  <c r="A118" i="18"/>
  <c r="A119" i="18"/>
  <c r="A120" i="18"/>
  <c r="A121" i="18"/>
  <c r="A122" i="18"/>
  <c r="A123" i="18"/>
  <c r="A124" i="18"/>
  <c r="A125" i="18"/>
  <c r="A126" i="18"/>
  <c r="A127" i="18"/>
  <c r="A128" i="18"/>
  <c r="A129" i="18"/>
  <c r="A109" i="18"/>
  <c r="H94" i="18"/>
  <c r="H95" i="18"/>
  <c r="H96" i="18"/>
  <c r="H97" i="18"/>
  <c r="H98" i="18"/>
  <c r="H99" i="18"/>
  <c r="H100" i="18"/>
  <c r="H101" i="18"/>
  <c r="H102" i="18"/>
  <c r="H103" i="18"/>
  <c r="H93" i="18"/>
  <c r="A94" i="18"/>
  <c r="A95" i="18"/>
  <c r="A96" i="18"/>
  <c r="A97" i="18"/>
  <c r="A98" i="18"/>
  <c r="A99" i="18"/>
  <c r="A100" i="18"/>
  <c r="A101" i="18"/>
  <c r="A102" i="18"/>
  <c r="A103" i="18"/>
  <c r="A93" i="18"/>
  <c r="I88" i="18"/>
  <c r="I87" i="18"/>
  <c r="D86" i="18"/>
  <c r="H75" i="18"/>
  <c r="B66" i="18"/>
  <c r="B67" i="18"/>
  <c r="B68" i="18"/>
  <c r="B69" i="18"/>
  <c r="B70" i="18"/>
  <c r="B71" i="18"/>
  <c r="B72" i="18"/>
  <c r="B73" i="18"/>
  <c r="B74" i="18"/>
  <c r="B75" i="18"/>
  <c r="B76" i="18"/>
  <c r="B77" i="18"/>
  <c r="B78" i="18"/>
  <c r="B79" i="18"/>
  <c r="B80" i="18"/>
  <c r="B81" i="18"/>
  <c r="B82" i="18"/>
  <c r="B83" i="18"/>
  <c r="B84" i="18"/>
  <c r="B85" i="18"/>
  <c r="B65" i="18"/>
  <c r="A66" i="18"/>
  <c r="A67" i="18"/>
  <c r="A68" i="18"/>
  <c r="A69" i="18"/>
  <c r="A70" i="18"/>
  <c r="A71" i="18"/>
  <c r="A72" i="18"/>
  <c r="A73" i="18"/>
  <c r="A74" i="18"/>
  <c r="A75" i="18"/>
  <c r="A76" i="18"/>
  <c r="A77" i="18"/>
  <c r="A78" i="18"/>
  <c r="A79" i="18"/>
  <c r="A80" i="18"/>
  <c r="A81" i="18"/>
  <c r="A82" i="18"/>
  <c r="A83" i="18"/>
  <c r="A84" i="18"/>
  <c r="A85" i="18"/>
  <c r="A65" i="18"/>
  <c r="H50" i="18"/>
  <c r="H51" i="18"/>
  <c r="H52" i="18"/>
  <c r="H53" i="18"/>
  <c r="H54" i="18"/>
  <c r="H55" i="18"/>
  <c r="H56" i="18"/>
  <c r="H57" i="18"/>
  <c r="H58" i="18"/>
  <c r="H59" i="18"/>
  <c r="H49" i="18"/>
  <c r="A50" i="18"/>
  <c r="A51" i="18"/>
  <c r="A52" i="18"/>
  <c r="A53" i="18"/>
  <c r="A54" i="18"/>
  <c r="A55" i="18"/>
  <c r="A56" i="18"/>
  <c r="A57" i="18"/>
  <c r="A58" i="18"/>
  <c r="A59" i="18"/>
  <c r="A49" i="18"/>
  <c r="B43" i="18"/>
  <c r="B38" i="18"/>
  <c r="B34" i="18"/>
  <c r="D34" i="18" s="1"/>
  <c r="B33" i="18"/>
  <c r="B30" i="18"/>
  <c r="G11" i="18"/>
  <c r="G12" i="18"/>
  <c r="G13" i="18"/>
  <c r="G14" i="18"/>
  <c r="G15" i="18"/>
  <c r="G16" i="18"/>
  <c r="G17" i="18"/>
  <c r="G18" i="18"/>
  <c r="G19" i="18"/>
  <c r="G20" i="18"/>
  <c r="G21" i="18"/>
  <c r="G22" i="18"/>
  <c r="G23" i="18"/>
  <c r="G24" i="18"/>
  <c r="G25" i="18"/>
  <c r="G10" i="18"/>
  <c r="C11" i="18"/>
  <c r="C12" i="18"/>
  <c r="C13" i="18"/>
  <c r="C14" i="18"/>
  <c r="C15" i="18"/>
  <c r="C16" i="18"/>
  <c r="C17" i="18"/>
  <c r="C18" i="18"/>
  <c r="C19" i="18"/>
  <c r="C20" i="18"/>
  <c r="C21" i="18"/>
  <c r="C22" i="18"/>
  <c r="C23" i="18"/>
  <c r="C24" i="18"/>
  <c r="C25" i="18"/>
  <c r="C10" i="18"/>
  <c r="B11" i="18"/>
  <c r="B12" i="18"/>
  <c r="B13" i="18"/>
  <c r="B14" i="18"/>
  <c r="B15" i="18"/>
  <c r="B16" i="18"/>
  <c r="D16" i="18" s="1"/>
  <c r="B17" i="18"/>
  <c r="B18" i="18"/>
  <c r="B19" i="18"/>
  <c r="B20" i="18"/>
  <c r="B21" i="18"/>
  <c r="B22" i="18"/>
  <c r="B23" i="18"/>
  <c r="B24" i="18"/>
  <c r="B25" i="18"/>
  <c r="B10" i="18"/>
  <c r="G3" i="18"/>
  <c r="G2" i="18"/>
  <c r="I130" i="16"/>
  <c r="I129" i="16"/>
  <c r="D128" i="16"/>
  <c r="H117" i="16"/>
  <c r="B108" i="16"/>
  <c r="B109" i="16"/>
  <c r="B110" i="16"/>
  <c r="B111" i="16"/>
  <c r="B112" i="16"/>
  <c r="B113" i="16"/>
  <c r="B114" i="16"/>
  <c r="B115" i="16"/>
  <c r="B116" i="16"/>
  <c r="B117" i="16"/>
  <c r="B118" i="16"/>
  <c r="B119" i="16"/>
  <c r="B120" i="16"/>
  <c r="B121" i="16"/>
  <c r="B122" i="16"/>
  <c r="B123" i="16"/>
  <c r="B124" i="16"/>
  <c r="B125" i="16"/>
  <c r="B126" i="16"/>
  <c r="B127" i="16"/>
  <c r="B107" i="16"/>
  <c r="A108" i="16"/>
  <c r="A109" i="16"/>
  <c r="A110" i="16"/>
  <c r="A111" i="16"/>
  <c r="A112" i="16"/>
  <c r="A113" i="16"/>
  <c r="A114" i="16"/>
  <c r="A115" i="16"/>
  <c r="A116" i="16"/>
  <c r="A117" i="16"/>
  <c r="A118" i="16"/>
  <c r="A119" i="16"/>
  <c r="A120" i="16"/>
  <c r="A121" i="16"/>
  <c r="A122" i="16"/>
  <c r="A123" i="16"/>
  <c r="A124" i="16"/>
  <c r="A125" i="16"/>
  <c r="A126" i="16"/>
  <c r="A127" i="16"/>
  <c r="A107" i="16"/>
  <c r="H93" i="16"/>
  <c r="H94" i="16"/>
  <c r="H95" i="16"/>
  <c r="H96" i="16"/>
  <c r="H97" i="16"/>
  <c r="H98" i="16"/>
  <c r="H99" i="16"/>
  <c r="H100" i="16"/>
  <c r="H101" i="16"/>
  <c r="A97" i="16"/>
  <c r="A98" i="16"/>
  <c r="A99" i="16"/>
  <c r="A100" i="16"/>
  <c r="A101" i="16"/>
  <c r="I86" i="16"/>
  <c r="I85" i="16"/>
  <c r="D84" i="16"/>
  <c r="H73" i="16"/>
  <c r="B64" i="16"/>
  <c r="B65" i="16"/>
  <c r="B66" i="16"/>
  <c r="B67" i="16"/>
  <c r="B68" i="16"/>
  <c r="B69" i="16"/>
  <c r="B70" i="16"/>
  <c r="B71" i="16"/>
  <c r="B72" i="16"/>
  <c r="B73" i="16"/>
  <c r="B74" i="16"/>
  <c r="B75" i="16"/>
  <c r="B76" i="16"/>
  <c r="B77" i="16"/>
  <c r="B78" i="16"/>
  <c r="B79" i="16"/>
  <c r="B80" i="16"/>
  <c r="B81" i="16"/>
  <c r="B82" i="16"/>
  <c r="B83" i="16"/>
  <c r="B63" i="16"/>
  <c r="A64" i="16"/>
  <c r="A65" i="16"/>
  <c r="A66" i="16"/>
  <c r="A67" i="16"/>
  <c r="A68" i="16"/>
  <c r="A69" i="16"/>
  <c r="A70" i="16"/>
  <c r="A71" i="16"/>
  <c r="A72" i="16"/>
  <c r="A73" i="16"/>
  <c r="A74" i="16"/>
  <c r="A75" i="16"/>
  <c r="A76" i="16"/>
  <c r="A77" i="16"/>
  <c r="A78" i="16"/>
  <c r="A79" i="16"/>
  <c r="A80" i="16"/>
  <c r="A81" i="16"/>
  <c r="A82" i="16"/>
  <c r="A83" i="16"/>
  <c r="A63" i="16"/>
  <c r="H48" i="16"/>
  <c r="H49" i="16"/>
  <c r="H50" i="16"/>
  <c r="H51" i="16"/>
  <c r="H52" i="16"/>
  <c r="H53" i="16"/>
  <c r="H54" i="16"/>
  <c r="H55" i="16"/>
  <c r="H56" i="16"/>
  <c r="H57" i="16"/>
  <c r="H47" i="16"/>
  <c r="A48" i="16"/>
  <c r="A49" i="16"/>
  <c r="A50" i="16"/>
  <c r="A51" i="16"/>
  <c r="A52" i="16"/>
  <c r="A53" i="16"/>
  <c r="A54" i="16"/>
  <c r="A55" i="16"/>
  <c r="A56" i="16"/>
  <c r="A57" i="16"/>
  <c r="A47" i="16"/>
  <c r="B41" i="16"/>
  <c r="B36" i="16"/>
  <c r="B31" i="16"/>
  <c r="B32" i="16"/>
  <c r="D32" i="16" s="1"/>
  <c r="B29" i="16"/>
  <c r="G11" i="16"/>
  <c r="G12" i="16"/>
  <c r="G13" i="16"/>
  <c r="G14" i="16"/>
  <c r="G15" i="16"/>
  <c r="G16" i="16"/>
  <c r="G17" i="16"/>
  <c r="G18" i="16"/>
  <c r="G19" i="16"/>
  <c r="G20" i="16"/>
  <c r="G21" i="16"/>
  <c r="G22" i="16"/>
  <c r="G23" i="16"/>
  <c r="G24" i="16"/>
  <c r="G25" i="16"/>
  <c r="G10" i="16"/>
  <c r="C11" i="16"/>
  <c r="H11" i="16" s="1"/>
  <c r="C12" i="16"/>
  <c r="C13" i="16"/>
  <c r="C14" i="16"/>
  <c r="C15" i="16"/>
  <c r="C16" i="16"/>
  <c r="C17" i="16"/>
  <c r="C18" i="16"/>
  <c r="C19" i="16"/>
  <c r="C20" i="16"/>
  <c r="C21" i="16"/>
  <c r="C22" i="16"/>
  <c r="C23" i="16"/>
  <c r="C24" i="16"/>
  <c r="C25" i="16"/>
  <c r="C10" i="16"/>
  <c r="H10" i="16" s="1"/>
  <c r="B11" i="16"/>
  <c r="B12" i="16"/>
  <c r="B13" i="16"/>
  <c r="B14" i="16"/>
  <c r="B15" i="16"/>
  <c r="B16" i="16"/>
  <c r="B17" i="16"/>
  <c r="B18" i="16"/>
  <c r="B19" i="16"/>
  <c r="B20" i="16"/>
  <c r="B21" i="16"/>
  <c r="B22" i="16"/>
  <c r="B23" i="16"/>
  <c r="B24" i="16"/>
  <c r="B25" i="16"/>
  <c r="B10" i="16"/>
  <c r="G3" i="16"/>
  <c r="G2" i="16"/>
  <c r="G3" i="17"/>
  <c r="G2" i="17"/>
  <c r="I87" i="17"/>
  <c r="I86" i="17"/>
  <c r="H74" i="17"/>
  <c r="B65" i="17"/>
  <c r="B66" i="17"/>
  <c r="B67" i="17"/>
  <c r="B68" i="17"/>
  <c r="B69" i="17"/>
  <c r="B70" i="17"/>
  <c r="B71" i="17"/>
  <c r="B72" i="17"/>
  <c r="B73" i="17"/>
  <c r="B74" i="17"/>
  <c r="B75" i="17"/>
  <c r="B76" i="17"/>
  <c r="B77" i="17"/>
  <c r="B78" i="17"/>
  <c r="B79" i="17"/>
  <c r="B80" i="17"/>
  <c r="B81" i="17"/>
  <c r="B82" i="17"/>
  <c r="B83" i="17"/>
  <c r="B84" i="17"/>
  <c r="B64" i="17"/>
  <c r="A65" i="17"/>
  <c r="A66" i="17"/>
  <c r="A67" i="17"/>
  <c r="A68" i="17"/>
  <c r="A69" i="17"/>
  <c r="A70" i="17"/>
  <c r="A71" i="17"/>
  <c r="A72" i="17"/>
  <c r="A73" i="17"/>
  <c r="A74" i="17"/>
  <c r="A75" i="17"/>
  <c r="A76" i="17"/>
  <c r="A77" i="17"/>
  <c r="A78" i="17"/>
  <c r="A79" i="17"/>
  <c r="A80" i="17"/>
  <c r="A81" i="17"/>
  <c r="A82" i="17"/>
  <c r="A83" i="17"/>
  <c r="A84" i="17"/>
  <c r="A64" i="17"/>
  <c r="B42" i="17"/>
  <c r="B37" i="17"/>
  <c r="H49" i="17"/>
  <c r="H50" i="17"/>
  <c r="H51" i="17"/>
  <c r="H52" i="17"/>
  <c r="H53" i="17"/>
  <c r="H54" i="17"/>
  <c r="H55" i="17"/>
  <c r="H56" i="17"/>
  <c r="H57" i="17"/>
  <c r="H58" i="17"/>
  <c r="H48" i="17"/>
  <c r="A49" i="17"/>
  <c r="A50" i="17"/>
  <c r="A51" i="17"/>
  <c r="A52" i="17"/>
  <c r="A53" i="17"/>
  <c r="A54" i="17"/>
  <c r="A55" i="17"/>
  <c r="A56" i="17"/>
  <c r="A57" i="17"/>
  <c r="A58" i="17"/>
  <c r="A48" i="17"/>
  <c r="B33" i="17"/>
  <c r="B30" i="17"/>
  <c r="G11" i="17"/>
  <c r="G12" i="17"/>
  <c r="G13" i="17"/>
  <c r="G14" i="17"/>
  <c r="G15" i="17"/>
  <c r="G16" i="17"/>
  <c r="G17" i="17"/>
  <c r="G18" i="17"/>
  <c r="G19" i="17"/>
  <c r="G20" i="17"/>
  <c r="G21" i="17"/>
  <c r="G22" i="17"/>
  <c r="G23" i="17"/>
  <c r="G24" i="17"/>
  <c r="G25" i="17"/>
  <c r="G10" i="17"/>
  <c r="B11" i="17"/>
  <c r="C11" i="17"/>
  <c r="B12" i="17"/>
  <c r="C12"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C10" i="17"/>
  <c r="B10" i="17"/>
  <c r="G3" i="15"/>
  <c r="G2" i="15"/>
  <c r="I85" i="15"/>
  <c r="I84" i="15"/>
  <c r="D83" i="15"/>
  <c r="H72" i="15"/>
  <c r="B63" i="15"/>
  <c r="B64" i="15"/>
  <c r="B65" i="15"/>
  <c r="B66" i="15"/>
  <c r="B67" i="15"/>
  <c r="B68" i="15"/>
  <c r="B69" i="15"/>
  <c r="B70" i="15"/>
  <c r="B71" i="15"/>
  <c r="B72" i="15"/>
  <c r="B73" i="15"/>
  <c r="B74" i="15"/>
  <c r="B75" i="15"/>
  <c r="B76" i="15"/>
  <c r="B77" i="15"/>
  <c r="B78" i="15"/>
  <c r="B79" i="15"/>
  <c r="B80" i="15"/>
  <c r="B81" i="15"/>
  <c r="B82" i="15"/>
  <c r="B62" i="15"/>
  <c r="A63" i="15"/>
  <c r="A64" i="15"/>
  <c r="A65" i="15"/>
  <c r="A66" i="15"/>
  <c r="A67" i="15"/>
  <c r="A68" i="15"/>
  <c r="A69" i="15"/>
  <c r="A70" i="15"/>
  <c r="A71" i="15"/>
  <c r="A72" i="15"/>
  <c r="A73" i="15"/>
  <c r="A74" i="15"/>
  <c r="A75" i="15"/>
  <c r="A76" i="15"/>
  <c r="A77" i="15"/>
  <c r="A78" i="15"/>
  <c r="A79" i="15"/>
  <c r="A80" i="15"/>
  <c r="A81" i="15"/>
  <c r="A82" i="15"/>
  <c r="A62" i="15"/>
  <c r="H47" i="15"/>
  <c r="H48" i="15"/>
  <c r="H49" i="15"/>
  <c r="H50" i="15"/>
  <c r="H51" i="15"/>
  <c r="H52" i="15"/>
  <c r="H53" i="15"/>
  <c r="H54" i="15"/>
  <c r="H55" i="15"/>
  <c r="H56" i="15"/>
  <c r="H46" i="15"/>
  <c r="A47" i="15"/>
  <c r="A48" i="15"/>
  <c r="A49" i="15"/>
  <c r="A50" i="15"/>
  <c r="A51" i="15"/>
  <c r="A52" i="15"/>
  <c r="A53" i="15"/>
  <c r="A54" i="15"/>
  <c r="A55" i="15"/>
  <c r="A56" i="15"/>
  <c r="A46" i="15"/>
  <c r="B31" i="15"/>
  <c r="G11" i="15"/>
  <c r="G13" i="15"/>
  <c r="G14" i="15"/>
  <c r="G15" i="15"/>
  <c r="G16" i="15"/>
  <c r="G17" i="15"/>
  <c r="G18" i="15"/>
  <c r="G19" i="15"/>
  <c r="G20" i="15"/>
  <c r="G21" i="15"/>
  <c r="G22" i="15"/>
  <c r="G23" i="15"/>
  <c r="G24" i="15"/>
  <c r="G25" i="15"/>
  <c r="G10" i="15"/>
  <c r="C11" i="15"/>
  <c r="C12" i="15"/>
  <c r="H12" i="15" s="1"/>
  <c r="C13" i="15"/>
  <c r="C14" i="15"/>
  <c r="C15" i="15"/>
  <c r="C16" i="15"/>
  <c r="C17" i="15"/>
  <c r="C18" i="15"/>
  <c r="C19" i="15"/>
  <c r="C20" i="15"/>
  <c r="C21" i="15"/>
  <c r="C22" i="15"/>
  <c r="C23" i="15"/>
  <c r="C24" i="15"/>
  <c r="C25" i="15"/>
  <c r="C10" i="15"/>
  <c r="B11" i="15"/>
  <c r="B12" i="15"/>
  <c r="B13" i="15"/>
  <c r="B14" i="15"/>
  <c r="B15" i="15"/>
  <c r="B16" i="15"/>
  <c r="B17" i="15"/>
  <c r="B18" i="15"/>
  <c r="B19" i="15"/>
  <c r="B20" i="15"/>
  <c r="B21" i="15"/>
  <c r="B22" i="15"/>
  <c r="B23" i="15"/>
  <c r="B24" i="15"/>
  <c r="B25" i="15"/>
  <c r="B10" i="15"/>
  <c r="B31" i="18" l="1"/>
  <c r="L32" i="18" s="1"/>
  <c r="B31" i="17"/>
  <c r="J131" i="18"/>
  <c r="I130" i="18"/>
  <c r="F130" i="18"/>
  <c r="C143" i="18" s="1"/>
  <c r="F129" i="18"/>
  <c r="F128" i="18"/>
  <c r="F127" i="18"/>
  <c r="F126" i="18"/>
  <c r="F125" i="18"/>
  <c r="F124" i="18"/>
  <c r="F123" i="18"/>
  <c r="F122" i="18"/>
  <c r="F121" i="18"/>
  <c r="F120" i="18"/>
  <c r="K119" i="18"/>
  <c r="J119" i="18"/>
  <c r="I119" i="18" s="1"/>
  <c r="G119" i="18" s="1"/>
  <c r="F119" i="18"/>
  <c r="F118" i="18"/>
  <c r="F117" i="18"/>
  <c r="F116" i="18"/>
  <c r="F115" i="18"/>
  <c r="F114" i="18"/>
  <c r="F113" i="18"/>
  <c r="F112" i="18"/>
  <c r="F111" i="18"/>
  <c r="F110" i="18"/>
  <c r="F109" i="18"/>
  <c r="K104" i="18"/>
  <c r="K103" i="18"/>
  <c r="F103" i="18"/>
  <c r="J103" i="18" s="1"/>
  <c r="I103" i="18" s="1"/>
  <c r="G103" i="18" s="1"/>
  <c r="K102" i="18"/>
  <c r="J102" i="18"/>
  <c r="I102" i="18" s="1"/>
  <c r="G102" i="18" s="1"/>
  <c r="F102" i="18"/>
  <c r="K101" i="18"/>
  <c r="J101" i="18"/>
  <c r="I101" i="18" s="1"/>
  <c r="G101" i="18" s="1"/>
  <c r="F101" i="18"/>
  <c r="K100" i="18"/>
  <c r="F100" i="18"/>
  <c r="J100" i="18" s="1"/>
  <c r="I100" i="18" s="1"/>
  <c r="G100" i="18" s="1"/>
  <c r="K99" i="18"/>
  <c r="F99" i="18"/>
  <c r="J99" i="18" s="1"/>
  <c r="I99" i="18" s="1"/>
  <c r="G99" i="18" s="1"/>
  <c r="K98" i="18"/>
  <c r="J98" i="18"/>
  <c r="I98" i="18"/>
  <c r="G98" i="18" s="1"/>
  <c r="F98" i="18"/>
  <c r="K97" i="18"/>
  <c r="F97" i="18"/>
  <c r="J97" i="18" s="1"/>
  <c r="I97" i="18" s="1"/>
  <c r="G97" i="18" s="1"/>
  <c r="K96" i="18"/>
  <c r="F96" i="18"/>
  <c r="J96" i="18" s="1"/>
  <c r="I96" i="18" s="1"/>
  <c r="G96" i="18" s="1"/>
  <c r="K95" i="18"/>
  <c r="F95" i="18"/>
  <c r="J95" i="18" s="1"/>
  <c r="I95" i="18" s="1"/>
  <c r="G95" i="18" s="1"/>
  <c r="K94" i="18"/>
  <c r="F94" i="18"/>
  <c r="J94" i="18" s="1"/>
  <c r="I94" i="18" s="1"/>
  <c r="G94" i="18" s="1"/>
  <c r="K93" i="18"/>
  <c r="F93" i="18"/>
  <c r="J93" i="18" s="1"/>
  <c r="I93" i="18" s="1"/>
  <c r="J87" i="18"/>
  <c r="I86" i="18"/>
  <c r="F86" i="18"/>
  <c r="F85" i="18"/>
  <c r="F84" i="18"/>
  <c r="F83" i="18"/>
  <c r="F82" i="18"/>
  <c r="F81" i="18"/>
  <c r="F80" i="18"/>
  <c r="F79" i="18"/>
  <c r="F78" i="18"/>
  <c r="F77" i="18"/>
  <c r="F76" i="18"/>
  <c r="K75" i="18"/>
  <c r="J75" i="18"/>
  <c r="I75" i="18"/>
  <c r="G75" i="18"/>
  <c r="F75" i="18"/>
  <c r="F74" i="18"/>
  <c r="F73" i="18"/>
  <c r="F72" i="18"/>
  <c r="F71" i="18"/>
  <c r="F70" i="18"/>
  <c r="F69" i="18"/>
  <c r="F68" i="18"/>
  <c r="F67" i="18"/>
  <c r="F66" i="18"/>
  <c r="F65" i="18"/>
  <c r="K64" i="18"/>
  <c r="J64" i="18"/>
  <c r="K63" i="18"/>
  <c r="J63" i="18"/>
  <c r="K62" i="18"/>
  <c r="J62" i="18"/>
  <c r="K61" i="18"/>
  <c r="J61" i="18"/>
  <c r="K60" i="18"/>
  <c r="J60" i="18"/>
  <c r="K59" i="18"/>
  <c r="F59" i="18"/>
  <c r="J59" i="18" s="1"/>
  <c r="I59" i="18" s="1"/>
  <c r="G59" i="18" s="1"/>
  <c r="K58" i="18"/>
  <c r="F58" i="18"/>
  <c r="J58" i="18" s="1"/>
  <c r="I58" i="18" s="1"/>
  <c r="G58" i="18" s="1"/>
  <c r="K57" i="18"/>
  <c r="F57" i="18"/>
  <c r="J57" i="18" s="1"/>
  <c r="I57" i="18" s="1"/>
  <c r="G57" i="18" s="1"/>
  <c r="K56" i="18"/>
  <c r="F56" i="18"/>
  <c r="J56" i="18" s="1"/>
  <c r="I56" i="18" s="1"/>
  <c r="G56" i="18" s="1"/>
  <c r="K55" i="18"/>
  <c r="F55" i="18"/>
  <c r="J55" i="18" s="1"/>
  <c r="I55" i="18" s="1"/>
  <c r="G55" i="18" s="1"/>
  <c r="K54" i="18"/>
  <c r="J54" i="18"/>
  <c r="I54" i="18" s="1"/>
  <c r="G54" i="18" s="1"/>
  <c r="F54" i="18"/>
  <c r="K53" i="18"/>
  <c r="J53" i="18"/>
  <c r="I53" i="18" s="1"/>
  <c r="G53" i="18" s="1"/>
  <c r="F53" i="18"/>
  <c r="K52" i="18"/>
  <c r="F52" i="18"/>
  <c r="J52" i="18" s="1"/>
  <c r="I52" i="18" s="1"/>
  <c r="G52" i="18" s="1"/>
  <c r="K51" i="18"/>
  <c r="F51" i="18"/>
  <c r="J51" i="18" s="1"/>
  <c r="I51" i="18" s="1"/>
  <c r="G51" i="18" s="1"/>
  <c r="K50" i="18"/>
  <c r="J50" i="18"/>
  <c r="I50" i="18"/>
  <c r="G50" i="18" s="1"/>
  <c r="F50" i="18"/>
  <c r="K49" i="18"/>
  <c r="F49" i="18"/>
  <c r="D38" i="18"/>
  <c r="G26" i="18"/>
  <c r="B26" i="18"/>
  <c r="G7" i="18" s="1"/>
  <c r="H25" i="18"/>
  <c r="I25" i="18" s="1"/>
  <c r="E25" i="18"/>
  <c r="D25" i="18"/>
  <c r="H24" i="18"/>
  <c r="I24" i="18" s="1"/>
  <c r="E24" i="18"/>
  <c r="D24" i="18"/>
  <c r="H23" i="18"/>
  <c r="I23" i="18" s="1"/>
  <c r="E23" i="18"/>
  <c r="D23" i="18"/>
  <c r="H22" i="18"/>
  <c r="I22" i="18" s="1"/>
  <c r="E22" i="18"/>
  <c r="D22" i="18"/>
  <c r="H21" i="18"/>
  <c r="I21" i="18" s="1"/>
  <c r="E21" i="18"/>
  <c r="D21" i="18"/>
  <c r="H20" i="18"/>
  <c r="I20" i="18" s="1"/>
  <c r="E20" i="18"/>
  <c r="D20" i="18"/>
  <c r="H19" i="18"/>
  <c r="I19" i="18" s="1"/>
  <c r="E19" i="18"/>
  <c r="D19" i="18"/>
  <c r="H18" i="18"/>
  <c r="I18" i="18" s="1"/>
  <c r="E18" i="18"/>
  <c r="D18" i="18"/>
  <c r="H17" i="18"/>
  <c r="I17" i="18" s="1"/>
  <c r="E17" i="18"/>
  <c r="D17" i="18"/>
  <c r="H16" i="18"/>
  <c r="I16" i="18" s="1"/>
  <c r="E16" i="18"/>
  <c r="H15" i="18"/>
  <c r="I15" i="18" s="1"/>
  <c r="E15" i="18"/>
  <c r="D15" i="18"/>
  <c r="H14" i="18"/>
  <c r="I14" i="18" s="1"/>
  <c r="E14" i="18"/>
  <c r="D14" i="18"/>
  <c r="H13" i="18"/>
  <c r="I13" i="18" s="1"/>
  <c r="E13" i="18"/>
  <c r="D13" i="18"/>
  <c r="H12" i="18"/>
  <c r="I12" i="18" s="1"/>
  <c r="E12" i="18"/>
  <c r="D12" i="18"/>
  <c r="H11" i="18"/>
  <c r="I11" i="18" s="1"/>
  <c r="E11" i="18"/>
  <c r="D11" i="18"/>
  <c r="H10" i="18"/>
  <c r="I10" i="18" s="1"/>
  <c r="E10" i="18"/>
  <c r="D10" i="18"/>
  <c r="E143" i="18" l="1"/>
  <c r="F27" i="18"/>
  <c r="K32" i="17"/>
  <c r="D26" i="18"/>
  <c r="L32" i="17"/>
  <c r="J32" i="17"/>
  <c r="B32" i="17" s="1"/>
  <c r="G32" i="17" s="1"/>
  <c r="K32" i="18"/>
  <c r="J49" i="18"/>
  <c r="I49" i="18" s="1"/>
  <c r="I60" i="18" s="1"/>
  <c r="C135" i="18" s="1"/>
  <c r="J32" i="18"/>
  <c r="I26" i="18"/>
  <c r="G93" i="18"/>
  <c r="I104" i="18"/>
  <c r="H135" i="18" s="1"/>
  <c r="B41" i="17" l="1"/>
  <c r="G49" i="18"/>
  <c r="B37" i="18"/>
  <c r="B39" i="18" s="1"/>
  <c r="G39" i="18" s="1"/>
  <c r="B32" i="18"/>
  <c r="D33" i="18" s="1"/>
  <c r="J86" i="17"/>
  <c r="I85" i="17"/>
  <c r="F85" i="17"/>
  <c r="F84" i="17"/>
  <c r="F83" i="17"/>
  <c r="F82" i="17"/>
  <c r="F81" i="17"/>
  <c r="F80" i="17"/>
  <c r="F79" i="17"/>
  <c r="F78" i="17"/>
  <c r="F77" i="17"/>
  <c r="F76" i="17"/>
  <c r="F75" i="17"/>
  <c r="K74" i="17"/>
  <c r="F74" i="17"/>
  <c r="J74" i="17" s="1"/>
  <c r="I74" i="17" s="1"/>
  <c r="G74" i="17" s="1"/>
  <c r="F73" i="17"/>
  <c r="F72" i="17"/>
  <c r="F71" i="17"/>
  <c r="F70" i="17"/>
  <c r="F69" i="17"/>
  <c r="F68" i="17"/>
  <c r="F67" i="17"/>
  <c r="F66" i="17"/>
  <c r="F65" i="17"/>
  <c r="F64" i="17"/>
  <c r="K59" i="17"/>
  <c r="K58" i="17"/>
  <c r="J58" i="17"/>
  <c r="I58" i="17" s="1"/>
  <c r="G58" i="17" s="1"/>
  <c r="F58" i="17"/>
  <c r="K57" i="17"/>
  <c r="J57" i="17"/>
  <c r="I57" i="17" s="1"/>
  <c r="G57" i="17" s="1"/>
  <c r="F57" i="17"/>
  <c r="K56" i="17"/>
  <c r="J56" i="17"/>
  <c r="I56" i="17" s="1"/>
  <c r="G56" i="17" s="1"/>
  <c r="F56" i="17"/>
  <c r="K55" i="17"/>
  <c r="F55" i="17"/>
  <c r="J55" i="17" s="1"/>
  <c r="I55" i="17" s="1"/>
  <c r="G55" i="17" s="1"/>
  <c r="K54" i="17"/>
  <c r="F54" i="17"/>
  <c r="J54" i="17" s="1"/>
  <c r="I54" i="17" s="1"/>
  <c r="G54" i="17" s="1"/>
  <c r="K53" i="17"/>
  <c r="F53" i="17"/>
  <c r="J53" i="17" s="1"/>
  <c r="I53" i="17" s="1"/>
  <c r="G53" i="17" s="1"/>
  <c r="K52" i="17"/>
  <c r="F52" i="17"/>
  <c r="J52" i="17" s="1"/>
  <c r="I52" i="17" s="1"/>
  <c r="G52" i="17" s="1"/>
  <c r="K51" i="17"/>
  <c r="F51" i="17"/>
  <c r="J51" i="17" s="1"/>
  <c r="I51" i="17" s="1"/>
  <c r="G51" i="17" s="1"/>
  <c r="K50" i="17"/>
  <c r="F50" i="17"/>
  <c r="J50" i="17" s="1"/>
  <c r="I50" i="17" s="1"/>
  <c r="G50" i="17" s="1"/>
  <c r="K49" i="17"/>
  <c r="F49" i="17"/>
  <c r="J49" i="17" s="1"/>
  <c r="I49" i="17" s="1"/>
  <c r="G49" i="17" s="1"/>
  <c r="K48" i="17"/>
  <c r="F48" i="17"/>
  <c r="D37" i="17"/>
  <c r="G26" i="17"/>
  <c r="B26" i="17"/>
  <c r="G7" i="17" s="1"/>
  <c r="H25" i="17"/>
  <c r="I25" i="17" s="1"/>
  <c r="E25" i="17"/>
  <c r="D25" i="17"/>
  <c r="H24" i="17"/>
  <c r="I24" i="17" s="1"/>
  <c r="E24" i="17"/>
  <c r="D24" i="17"/>
  <c r="H23" i="17"/>
  <c r="I23" i="17" s="1"/>
  <c r="E23" i="17"/>
  <c r="D23" i="17"/>
  <c r="H22" i="17"/>
  <c r="I22" i="17" s="1"/>
  <c r="E22" i="17"/>
  <c r="D22" i="17"/>
  <c r="H21" i="17"/>
  <c r="I21" i="17" s="1"/>
  <c r="E21" i="17"/>
  <c r="D21" i="17"/>
  <c r="H20" i="17"/>
  <c r="I20" i="17" s="1"/>
  <c r="E20" i="17"/>
  <c r="D20" i="17"/>
  <c r="H19" i="17"/>
  <c r="I19" i="17" s="1"/>
  <c r="E19" i="17"/>
  <c r="D19" i="17"/>
  <c r="H18" i="17"/>
  <c r="I18" i="17" s="1"/>
  <c r="E18" i="17"/>
  <c r="D18" i="17"/>
  <c r="H17" i="17"/>
  <c r="I17" i="17" s="1"/>
  <c r="E17" i="17"/>
  <c r="D17" i="17"/>
  <c r="H16" i="17"/>
  <c r="I16" i="17" s="1"/>
  <c r="E16" i="17"/>
  <c r="D16" i="17"/>
  <c r="H15" i="17"/>
  <c r="I15" i="17" s="1"/>
  <c r="E15" i="17"/>
  <c r="D15" i="17"/>
  <c r="H14" i="17"/>
  <c r="I14" i="17" s="1"/>
  <c r="E14" i="17"/>
  <c r="D14" i="17"/>
  <c r="H13" i="17"/>
  <c r="I13" i="17" s="1"/>
  <c r="E13" i="17"/>
  <c r="D13" i="17"/>
  <c r="H12" i="17"/>
  <c r="I12" i="17" s="1"/>
  <c r="E12" i="17"/>
  <c r="D12" i="17"/>
  <c r="H11" i="17"/>
  <c r="I11" i="17" s="1"/>
  <c r="E11" i="17"/>
  <c r="D11" i="17"/>
  <c r="H10" i="17"/>
  <c r="I10" i="17" s="1"/>
  <c r="E10" i="17"/>
  <c r="D10" i="17"/>
  <c r="J30" i="16"/>
  <c r="K30" i="16"/>
  <c r="K30" i="15"/>
  <c r="J30" i="15"/>
  <c r="J129" i="16"/>
  <c r="I128" i="16"/>
  <c r="F128" i="16"/>
  <c r="F127" i="16"/>
  <c r="F126" i="16"/>
  <c r="F125" i="16"/>
  <c r="F124" i="16"/>
  <c r="F123" i="16"/>
  <c r="F122" i="16"/>
  <c r="F121" i="16"/>
  <c r="F120" i="16"/>
  <c r="F119" i="16"/>
  <c r="F118" i="16"/>
  <c r="K117" i="16"/>
  <c r="F117" i="16"/>
  <c r="J117" i="16" s="1"/>
  <c r="I117" i="16" s="1"/>
  <c r="G117" i="16" s="1"/>
  <c r="F116" i="16"/>
  <c r="F115" i="16"/>
  <c r="F114" i="16"/>
  <c r="F113" i="16"/>
  <c r="F112" i="16"/>
  <c r="F111" i="16"/>
  <c r="F110" i="16"/>
  <c r="F109" i="16"/>
  <c r="F108" i="16"/>
  <c r="F107" i="16"/>
  <c r="K102" i="16"/>
  <c r="K101" i="16"/>
  <c r="F101" i="16"/>
  <c r="J101" i="16" s="1"/>
  <c r="I101" i="16" s="1"/>
  <c r="G101" i="16" s="1"/>
  <c r="K100" i="16"/>
  <c r="F100" i="16"/>
  <c r="J100" i="16" s="1"/>
  <c r="I100" i="16" s="1"/>
  <c r="G100" i="16" s="1"/>
  <c r="K99" i="16"/>
  <c r="F99" i="16"/>
  <c r="J99" i="16" s="1"/>
  <c r="I99" i="16" s="1"/>
  <c r="G99" i="16" s="1"/>
  <c r="K98" i="16"/>
  <c r="F98" i="16"/>
  <c r="J98" i="16" s="1"/>
  <c r="I98" i="16" s="1"/>
  <c r="G98" i="16" s="1"/>
  <c r="K97" i="16"/>
  <c r="F97" i="16"/>
  <c r="J97" i="16" s="1"/>
  <c r="I97" i="16" s="1"/>
  <c r="G97" i="16" s="1"/>
  <c r="K96" i="16"/>
  <c r="F96" i="16"/>
  <c r="J96" i="16" s="1"/>
  <c r="I96" i="16" s="1"/>
  <c r="G96" i="16" s="1"/>
  <c r="K95" i="16"/>
  <c r="F95" i="16"/>
  <c r="J95" i="16" s="1"/>
  <c r="I95" i="16" s="1"/>
  <c r="G95" i="16" s="1"/>
  <c r="K94" i="16"/>
  <c r="F94" i="16"/>
  <c r="J94" i="16" s="1"/>
  <c r="I94" i="16" s="1"/>
  <c r="G94" i="16" s="1"/>
  <c r="K93" i="16"/>
  <c r="F93" i="16"/>
  <c r="J93" i="16" s="1"/>
  <c r="I93" i="16" s="1"/>
  <c r="G93" i="16" s="1"/>
  <c r="K92" i="16"/>
  <c r="F92" i="16"/>
  <c r="J92" i="16" s="1"/>
  <c r="I92" i="16" s="1"/>
  <c r="G92" i="16" s="1"/>
  <c r="K91" i="16"/>
  <c r="F91" i="16"/>
  <c r="J85" i="16"/>
  <c r="I84" i="16"/>
  <c r="F84" i="16"/>
  <c r="F83" i="16"/>
  <c r="F82" i="16"/>
  <c r="F81" i="16"/>
  <c r="F80" i="16"/>
  <c r="F79" i="16"/>
  <c r="F78" i="16"/>
  <c r="F77" i="16"/>
  <c r="F76" i="16"/>
  <c r="F75" i="16"/>
  <c r="F74" i="16"/>
  <c r="K73" i="16"/>
  <c r="F73" i="16"/>
  <c r="J73" i="16" s="1"/>
  <c r="I73" i="16" s="1"/>
  <c r="G73" i="16" s="1"/>
  <c r="F72" i="16"/>
  <c r="F71" i="16"/>
  <c r="F70" i="16"/>
  <c r="F69" i="16"/>
  <c r="F68" i="16"/>
  <c r="F67" i="16"/>
  <c r="F66" i="16"/>
  <c r="F65" i="16"/>
  <c r="F64" i="16"/>
  <c r="F63" i="16"/>
  <c r="K62" i="16"/>
  <c r="J62" i="16"/>
  <c r="K61" i="16"/>
  <c r="J61" i="16"/>
  <c r="K60" i="16"/>
  <c r="J60" i="16"/>
  <c r="K59" i="16"/>
  <c r="J59" i="16"/>
  <c r="K58" i="16"/>
  <c r="J58" i="16"/>
  <c r="K57" i="16"/>
  <c r="F57" i="16"/>
  <c r="J57" i="16" s="1"/>
  <c r="I57" i="16" s="1"/>
  <c r="G57" i="16" s="1"/>
  <c r="K56" i="16"/>
  <c r="F56" i="16"/>
  <c r="J56" i="16" s="1"/>
  <c r="I56" i="16" s="1"/>
  <c r="G56" i="16" s="1"/>
  <c r="K55" i="16"/>
  <c r="F55" i="16"/>
  <c r="J55" i="16" s="1"/>
  <c r="I55" i="16" s="1"/>
  <c r="G55" i="16" s="1"/>
  <c r="K54" i="16"/>
  <c r="F54" i="16"/>
  <c r="J54" i="16" s="1"/>
  <c r="I54" i="16" s="1"/>
  <c r="G54" i="16" s="1"/>
  <c r="K53" i="16"/>
  <c r="F53" i="16"/>
  <c r="J53" i="16" s="1"/>
  <c r="I53" i="16" s="1"/>
  <c r="G53" i="16" s="1"/>
  <c r="K52" i="16"/>
  <c r="F52" i="16"/>
  <c r="J52" i="16" s="1"/>
  <c r="I52" i="16" s="1"/>
  <c r="G52" i="16" s="1"/>
  <c r="K51" i="16"/>
  <c r="F51" i="16"/>
  <c r="J51" i="16" s="1"/>
  <c r="I51" i="16" s="1"/>
  <c r="G51" i="16" s="1"/>
  <c r="K50" i="16"/>
  <c r="F50" i="16"/>
  <c r="J50" i="16" s="1"/>
  <c r="I50" i="16" s="1"/>
  <c r="G50" i="16" s="1"/>
  <c r="K49" i="16"/>
  <c r="F49" i="16"/>
  <c r="J49" i="16" s="1"/>
  <c r="I49" i="16" s="1"/>
  <c r="G49" i="16" s="1"/>
  <c r="K48" i="16"/>
  <c r="F48" i="16"/>
  <c r="J48" i="16" s="1"/>
  <c r="I48" i="16" s="1"/>
  <c r="G48" i="16" s="1"/>
  <c r="K47" i="16"/>
  <c r="F47" i="16"/>
  <c r="D36" i="16"/>
  <c r="G26" i="16"/>
  <c r="B26" i="16"/>
  <c r="G7" i="16" s="1"/>
  <c r="H25" i="16"/>
  <c r="I25" i="16" s="1"/>
  <c r="E25" i="16"/>
  <c r="D25" i="16"/>
  <c r="H24" i="16"/>
  <c r="I24" i="16" s="1"/>
  <c r="E24" i="16"/>
  <c r="D24" i="16"/>
  <c r="H23" i="16"/>
  <c r="I23" i="16" s="1"/>
  <c r="E23" i="16"/>
  <c r="D23" i="16"/>
  <c r="H22" i="16"/>
  <c r="I22" i="16" s="1"/>
  <c r="E22" i="16"/>
  <c r="D22" i="16"/>
  <c r="H21" i="16"/>
  <c r="I21" i="16" s="1"/>
  <c r="E21" i="16"/>
  <c r="D21" i="16"/>
  <c r="H20" i="16"/>
  <c r="I20" i="16" s="1"/>
  <c r="E20" i="16"/>
  <c r="D20" i="16"/>
  <c r="H19" i="16"/>
  <c r="I19" i="16" s="1"/>
  <c r="E19" i="16"/>
  <c r="D19" i="16"/>
  <c r="H18" i="16"/>
  <c r="I18" i="16" s="1"/>
  <c r="E18" i="16"/>
  <c r="D18" i="16"/>
  <c r="H17" i="16"/>
  <c r="I17" i="16" s="1"/>
  <c r="E17" i="16"/>
  <c r="D17" i="16"/>
  <c r="H16" i="16"/>
  <c r="I16" i="16" s="1"/>
  <c r="E16" i="16"/>
  <c r="D16" i="16"/>
  <c r="H15" i="16"/>
  <c r="I15" i="16" s="1"/>
  <c r="E15" i="16"/>
  <c r="D15" i="16"/>
  <c r="H14" i="16"/>
  <c r="I14" i="16" s="1"/>
  <c r="E14" i="16"/>
  <c r="D14" i="16"/>
  <c r="H13" i="16"/>
  <c r="I13" i="16" s="1"/>
  <c r="E13" i="16"/>
  <c r="D13" i="16"/>
  <c r="H12" i="16"/>
  <c r="I12" i="16" s="1"/>
  <c r="E12" i="16"/>
  <c r="D12" i="16"/>
  <c r="I11" i="16"/>
  <c r="E11" i="16"/>
  <c r="D11" i="16"/>
  <c r="I10" i="16"/>
  <c r="E10" i="16"/>
  <c r="D10" i="16"/>
  <c r="H65" i="13"/>
  <c r="K50" i="13"/>
  <c r="K51" i="13"/>
  <c r="K52" i="13"/>
  <c r="K53" i="13"/>
  <c r="K54" i="13"/>
  <c r="K55" i="13"/>
  <c r="K56" i="13"/>
  <c r="K57" i="13"/>
  <c r="K58" i="13"/>
  <c r="K59" i="13"/>
  <c r="K60" i="13"/>
  <c r="K61" i="13"/>
  <c r="K62" i="13"/>
  <c r="K63" i="13"/>
  <c r="K64" i="13"/>
  <c r="K75" i="13"/>
  <c r="J60" i="13"/>
  <c r="J61" i="13"/>
  <c r="J62" i="13"/>
  <c r="J63" i="13"/>
  <c r="J64" i="13"/>
  <c r="I85" i="6"/>
  <c r="K49" i="6"/>
  <c r="K50" i="6"/>
  <c r="K51" i="6"/>
  <c r="K52" i="6"/>
  <c r="K53" i="6"/>
  <c r="K54" i="6"/>
  <c r="K55" i="6"/>
  <c r="K56" i="6"/>
  <c r="K59" i="6"/>
  <c r="K60" i="6"/>
  <c r="K61" i="6"/>
  <c r="K62" i="6"/>
  <c r="K63" i="6"/>
  <c r="K74" i="6"/>
  <c r="J59" i="6"/>
  <c r="J60" i="6"/>
  <c r="J61" i="6"/>
  <c r="J62" i="6"/>
  <c r="J63" i="6"/>
  <c r="J84" i="15"/>
  <c r="I83" i="15"/>
  <c r="F83" i="15"/>
  <c r="F82" i="15"/>
  <c r="F81" i="15"/>
  <c r="F80" i="15"/>
  <c r="F79" i="15"/>
  <c r="F78" i="15"/>
  <c r="F77" i="15"/>
  <c r="F76" i="15"/>
  <c r="F75" i="15"/>
  <c r="F74" i="15"/>
  <c r="F73" i="15"/>
  <c r="K72" i="15"/>
  <c r="F72" i="15"/>
  <c r="J72" i="15" s="1"/>
  <c r="I72" i="15" s="1"/>
  <c r="F71" i="15"/>
  <c r="F70" i="15"/>
  <c r="F69" i="15"/>
  <c r="F68" i="15"/>
  <c r="F67" i="15"/>
  <c r="F66" i="15"/>
  <c r="F65" i="15"/>
  <c r="F64" i="15"/>
  <c r="F63" i="15"/>
  <c r="F62" i="15"/>
  <c r="K57" i="15"/>
  <c r="K54" i="15"/>
  <c r="F54" i="15"/>
  <c r="J54" i="15" s="1"/>
  <c r="I54" i="15" s="1"/>
  <c r="G54" i="15" s="1"/>
  <c r="K53" i="15"/>
  <c r="F53" i="15"/>
  <c r="J53" i="15" s="1"/>
  <c r="I53" i="15" s="1"/>
  <c r="G53" i="15" s="1"/>
  <c r="K52" i="15"/>
  <c r="F52" i="15"/>
  <c r="J52" i="15" s="1"/>
  <c r="I52" i="15" s="1"/>
  <c r="G52" i="15" s="1"/>
  <c r="K51" i="15"/>
  <c r="F51" i="15"/>
  <c r="J51" i="15" s="1"/>
  <c r="I51" i="15" s="1"/>
  <c r="G51" i="15" s="1"/>
  <c r="K50" i="15"/>
  <c r="F50" i="15"/>
  <c r="J50" i="15" s="1"/>
  <c r="I50" i="15" s="1"/>
  <c r="G50" i="15" s="1"/>
  <c r="K49" i="15"/>
  <c r="F49" i="15"/>
  <c r="J49" i="15" s="1"/>
  <c r="I49" i="15" s="1"/>
  <c r="G49" i="15" s="1"/>
  <c r="K48" i="15"/>
  <c r="F48" i="15"/>
  <c r="J48" i="15" s="1"/>
  <c r="I48" i="15" s="1"/>
  <c r="G48" i="15" s="1"/>
  <c r="K47" i="15"/>
  <c r="F47" i="15"/>
  <c r="J47" i="15" s="1"/>
  <c r="I47" i="15" s="1"/>
  <c r="K46" i="15"/>
  <c r="F46" i="15"/>
  <c r="J46" i="15" s="1"/>
  <c r="D35" i="15"/>
  <c r="G26" i="15"/>
  <c r="B26" i="15"/>
  <c r="G7" i="15" s="1"/>
  <c r="H25" i="15"/>
  <c r="I25" i="15" s="1"/>
  <c r="E25" i="15"/>
  <c r="D25" i="15"/>
  <c r="H24" i="15"/>
  <c r="I24" i="15" s="1"/>
  <c r="E24" i="15"/>
  <c r="D24" i="15"/>
  <c r="H23" i="15"/>
  <c r="I23" i="15" s="1"/>
  <c r="E23" i="15"/>
  <c r="D23" i="15"/>
  <c r="H22" i="15"/>
  <c r="I22" i="15" s="1"/>
  <c r="E22" i="15"/>
  <c r="D22" i="15"/>
  <c r="H21" i="15"/>
  <c r="I21" i="15" s="1"/>
  <c r="E21" i="15"/>
  <c r="D21" i="15"/>
  <c r="H20" i="15"/>
  <c r="I20" i="15" s="1"/>
  <c r="E20" i="15"/>
  <c r="D20" i="15"/>
  <c r="H19" i="15"/>
  <c r="I19" i="15" s="1"/>
  <c r="E19" i="15"/>
  <c r="D19" i="15"/>
  <c r="H18" i="15"/>
  <c r="I18" i="15" s="1"/>
  <c r="E18" i="15"/>
  <c r="D18" i="15"/>
  <c r="H17" i="15"/>
  <c r="I17" i="15" s="1"/>
  <c r="E17" i="15"/>
  <c r="D17" i="15"/>
  <c r="H16" i="15"/>
  <c r="I16" i="15" s="1"/>
  <c r="E16" i="15"/>
  <c r="D16" i="15"/>
  <c r="H15" i="15"/>
  <c r="I15" i="15" s="1"/>
  <c r="E15" i="15"/>
  <c r="D15" i="15"/>
  <c r="H14" i="15"/>
  <c r="I14" i="15" s="1"/>
  <c r="E14" i="15"/>
  <c r="D14" i="15"/>
  <c r="H13" i="15"/>
  <c r="I13" i="15" s="1"/>
  <c r="E13" i="15"/>
  <c r="D13" i="15"/>
  <c r="I12" i="15"/>
  <c r="E12" i="15"/>
  <c r="D12" i="15"/>
  <c r="H11" i="15"/>
  <c r="I11" i="15" s="1"/>
  <c r="E11" i="15"/>
  <c r="D11" i="15"/>
  <c r="H10" i="15"/>
  <c r="I10" i="15" s="1"/>
  <c r="E10" i="15"/>
  <c r="D10" i="15"/>
  <c r="B30" i="16" l="1"/>
  <c r="D31" i="16" s="1"/>
  <c r="G31" i="18"/>
  <c r="K65" i="13"/>
  <c r="H63" i="16"/>
  <c r="K63" i="16" s="1"/>
  <c r="H65" i="18"/>
  <c r="J91" i="16"/>
  <c r="I91" i="16" s="1"/>
  <c r="G91" i="16" s="1"/>
  <c r="C141" i="16"/>
  <c r="E141" i="16" s="1"/>
  <c r="F27" i="16"/>
  <c r="C97" i="17"/>
  <c r="E97" i="17" s="1"/>
  <c r="B42" i="18"/>
  <c r="B44" i="18" s="1"/>
  <c r="G44" i="18" s="1"/>
  <c r="F45" i="18" s="1"/>
  <c r="D26" i="16"/>
  <c r="B30" i="15"/>
  <c r="F27" i="15"/>
  <c r="J48" i="17"/>
  <c r="I48" i="17" s="1"/>
  <c r="I59" i="17" s="1"/>
  <c r="C91" i="17" s="1"/>
  <c r="I46" i="15"/>
  <c r="G46" i="15" s="1"/>
  <c r="F27" i="17"/>
  <c r="B43" i="17"/>
  <c r="G43" i="17" s="1"/>
  <c r="D26" i="17"/>
  <c r="I26" i="17"/>
  <c r="I26" i="16"/>
  <c r="B35" i="16" s="1"/>
  <c r="B37" i="16" s="1"/>
  <c r="J47" i="16"/>
  <c r="I47" i="16" s="1"/>
  <c r="D26" i="15"/>
  <c r="G72" i="15"/>
  <c r="I26" i="15"/>
  <c r="B34" i="15" s="1"/>
  <c r="G47" i="15"/>
  <c r="G26" i="13"/>
  <c r="G26" i="6"/>
  <c r="J131" i="13"/>
  <c r="I130" i="13"/>
  <c r="H130" i="13"/>
  <c r="F130" i="13"/>
  <c r="H129" i="13"/>
  <c r="F129" i="13"/>
  <c r="H128" i="13"/>
  <c r="F128" i="13"/>
  <c r="H127" i="13"/>
  <c r="F127" i="13"/>
  <c r="H126" i="13"/>
  <c r="F126" i="13"/>
  <c r="H125" i="13"/>
  <c r="F125" i="13"/>
  <c r="H124" i="13"/>
  <c r="F124" i="13"/>
  <c r="H123" i="13"/>
  <c r="F123" i="13"/>
  <c r="H122" i="13"/>
  <c r="F122" i="13"/>
  <c r="H121" i="13"/>
  <c r="F121" i="13"/>
  <c r="H120" i="13"/>
  <c r="F120" i="13"/>
  <c r="K119" i="13"/>
  <c r="F119" i="13"/>
  <c r="J119" i="13" s="1"/>
  <c r="I119" i="13" s="1"/>
  <c r="H118" i="13"/>
  <c r="F118" i="13"/>
  <c r="H117" i="13"/>
  <c r="F117" i="13"/>
  <c r="H116" i="13"/>
  <c r="F116" i="13"/>
  <c r="H115" i="13"/>
  <c r="F115" i="13"/>
  <c r="H114" i="13"/>
  <c r="F114" i="13"/>
  <c r="H113" i="13"/>
  <c r="F113" i="13"/>
  <c r="H112" i="13"/>
  <c r="F112" i="13"/>
  <c r="H111" i="13"/>
  <c r="F111" i="13"/>
  <c r="H110" i="13"/>
  <c r="F110" i="13"/>
  <c r="H109" i="13"/>
  <c r="F109" i="13"/>
  <c r="K104" i="13"/>
  <c r="K103" i="13"/>
  <c r="K102" i="13"/>
  <c r="K101" i="13"/>
  <c r="F101" i="13"/>
  <c r="J101" i="13" s="1"/>
  <c r="I101" i="13" s="1"/>
  <c r="G101" i="13" s="1"/>
  <c r="K100" i="13"/>
  <c r="J100" i="13"/>
  <c r="I100" i="13" s="1"/>
  <c r="G100" i="13" s="1"/>
  <c r="F100" i="13"/>
  <c r="K99" i="13"/>
  <c r="F99" i="13"/>
  <c r="J99" i="13" s="1"/>
  <c r="I99" i="13" s="1"/>
  <c r="G99" i="13" s="1"/>
  <c r="K98" i="13"/>
  <c r="F98" i="13"/>
  <c r="J98" i="13" s="1"/>
  <c r="I98" i="13" s="1"/>
  <c r="G98" i="13" s="1"/>
  <c r="K97" i="13"/>
  <c r="F97" i="13"/>
  <c r="J97" i="13" s="1"/>
  <c r="I97" i="13" s="1"/>
  <c r="G97" i="13" s="1"/>
  <c r="K96" i="13"/>
  <c r="F96" i="13"/>
  <c r="J96" i="13" s="1"/>
  <c r="I96" i="13" s="1"/>
  <c r="G96" i="13" s="1"/>
  <c r="K95" i="13"/>
  <c r="F95" i="13"/>
  <c r="J95" i="13" s="1"/>
  <c r="I95" i="13" s="1"/>
  <c r="G95" i="13" s="1"/>
  <c r="K94" i="13"/>
  <c r="F94" i="13"/>
  <c r="J94" i="13" s="1"/>
  <c r="I94" i="13" s="1"/>
  <c r="K93" i="13"/>
  <c r="F93" i="13"/>
  <c r="J87" i="13"/>
  <c r="I86" i="13"/>
  <c r="H86" i="13"/>
  <c r="F86" i="13"/>
  <c r="H85" i="13"/>
  <c r="F85" i="13"/>
  <c r="H84" i="13"/>
  <c r="F84" i="13"/>
  <c r="H83" i="13"/>
  <c r="F83" i="13"/>
  <c r="H82" i="13"/>
  <c r="F82" i="13"/>
  <c r="H81" i="13"/>
  <c r="F81" i="13"/>
  <c r="H80" i="13"/>
  <c r="F80" i="13"/>
  <c r="H79" i="13"/>
  <c r="F79" i="13"/>
  <c r="H78" i="13"/>
  <c r="F78" i="13"/>
  <c r="H77" i="13"/>
  <c r="F77" i="13"/>
  <c r="H76" i="13"/>
  <c r="F76" i="13"/>
  <c r="F75" i="13"/>
  <c r="J75" i="13" s="1"/>
  <c r="I75" i="13" s="1"/>
  <c r="H74" i="13"/>
  <c r="F74" i="13"/>
  <c r="H73" i="13"/>
  <c r="F73" i="13"/>
  <c r="H72" i="13"/>
  <c r="F72" i="13"/>
  <c r="H71" i="13"/>
  <c r="F71" i="13"/>
  <c r="H70" i="13"/>
  <c r="F70" i="13"/>
  <c r="H69" i="13"/>
  <c r="F69" i="13"/>
  <c r="H68" i="13"/>
  <c r="F68" i="13"/>
  <c r="H67" i="13"/>
  <c r="F67" i="13"/>
  <c r="H66" i="13"/>
  <c r="F66" i="13"/>
  <c r="F65" i="13"/>
  <c r="J65" i="13" s="1"/>
  <c r="I65" i="13" s="1"/>
  <c r="F57" i="13"/>
  <c r="F56" i="13"/>
  <c r="F55" i="13"/>
  <c r="F54" i="13"/>
  <c r="F53" i="13"/>
  <c r="F52" i="13"/>
  <c r="F51" i="13"/>
  <c r="F50" i="13"/>
  <c r="K49" i="13"/>
  <c r="F49" i="13"/>
  <c r="J49" i="13" s="1"/>
  <c r="I49" i="13" s="1"/>
  <c r="D38" i="13"/>
  <c r="B31" i="13"/>
  <c r="B26" i="13"/>
  <c r="G7" i="13" s="1"/>
  <c r="H25" i="13"/>
  <c r="I25" i="13" s="1"/>
  <c r="E25" i="13"/>
  <c r="D25" i="13"/>
  <c r="H24" i="13"/>
  <c r="I24" i="13" s="1"/>
  <c r="E24" i="13"/>
  <c r="D24" i="13"/>
  <c r="H23" i="13"/>
  <c r="I23" i="13" s="1"/>
  <c r="E23" i="13"/>
  <c r="D23" i="13"/>
  <c r="H22" i="13"/>
  <c r="I22" i="13" s="1"/>
  <c r="E22" i="13"/>
  <c r="D22" i="13"/>
  <c r="H21" i="13"/>
  <c r="I21" i="13" s="1"/>
  <c r="E21" i="13"/>
  <c r="D21" i="13"/>
  <c r="H20" i="13"/>
  <c r="I20" i="13" s="1"/>
  <c r="E20" i="13"/>
  <c r="D20" i="13"/>
  <c r="H19" i="13"/>
  <c r="I19" i="13" s="1"/>
  <c r="E19" i="13"/>
  <c r="D19" i="13"/>
  <c r="H18" i="13"/>
  <c r="I18" i="13" s="1"/>
  <c r="E18" i="13"/>
  <c r="D18" i="13"/>
  <c r="H17" i="13"/>
  <c r="I17" i="13" s="1"/>
  <c r="E17" i="13"/>
  <c r="D17" i="13"/>
  <c r="H16" i="13"/>
  <c r="I16" i="13" s="1"/>
  <c r="E16" i="13"/>
  <c r="D16" i="13"/>
  <c r="H15" i="13"/>
  <c r="I15" i="13" s="1"/>
  <c r="E15" i="13"/>
  <c r="D15" i="13"/>
  <c r="H14" i="13"/>
  <c r="I14" i="13" s="1"/>
  <c r="E14" i="13"/>
  <c r="D14" i="13"/>
  <c r="H13" i="13"/>
  <c r="I13" i="13" s="1"/>
  <c r="E13" i="13"/>
  <c r="D13" i="13"/>
  <c r="H12" i="13"/>
  <c r="I12" i="13" s="1"/>
  <c r="E12" i="13"/>
  <c r="D12" i="13"/>
  <c r="H11" i="13"/>
  <c r="I11" i="13" s="1"/>
  <c r="E11" i="13"/>
  <c r="D11" i="13"/>
  <c r="H10" i="13"/>
  <c r="I10" i="13" s="1"/>
  <c r="E10" i="13"/>
  <c r="B31" i="6"/>
  <c r="K48" i="6"/>
  <c r="G29" i="16" l="1"/>
  <c r="B40" i="16"/>
  <c r="B42" i="16" s="1"/>
  <c r="G42" i="16" s="1"/>
  <c r="F43" i="16" s="1"/>
  <c r="H84" i="16"/>
  <c r="H86" i="18"/>
  <c r="K128" i="13"/>
  <c r="H126" i="16"/>
  <c r="H128" i="18"/>
  <c r="K79" i="13"/>
  <c r="H77" i="16"/>
  <c r="H79" i="18"/>
  <c r="K81" i="13"/>
  <c r="H81" i="18"/>
  <c r="H79" i="16"/>
  <c r="K85" i="13"/>
  <c r="H85" i="18"/>
  <c r="H83" i="16"/>
  <c r="K127" i="13"/>
  <c r="H127" i="18"/>
  <c r="H125" i="16"/>
  <c r="K129" i="13"/>
  <c r="H127" i="16"/>
  <c r="H129" i="18"/>
  <c r="K76" i="13"/>
  <c r="H76" i="18"/>
  <c r="H74" i="16"/>
  <c r="K78" i="13"/>
  <c r="H76" i="16"/>
  <c r="H78" i="18"/>
  <c r="K80" i="13"/>
  <c r="H78" i="16"/>
  <c r="H80" i="18"/>
  <c r="H80" i="16"/>
  <c r="H82" i="18"/>
  <c r="K84" i="13"/>
  <c r="H84" i="18"/>
  <c r="H82" i="16"/>
  <c r="K65" i="18"/>
  <c r="J65" i="18"/>
  <c r="I65" i="18" s="1"/>
  <c r="K66" i="13"/>
  <c r="H64" i="16"/>
  <c r="H66" i="18"/>
  <c r="K68" i="13"/>
  <c r="H68" i="18"/>
  <c r="H66" i="16"/>
  <c r="K70" i="13"/>
  <c r="H68" i="16"/>
  <c r="H70" i="18"/>
  <c r="K72" i="13"/>
  <c r="H70" i="16"/>
  <c r="H72" i="18"/>
  <c r="K74" i="13"/>
  <c r="H72" i="16"/>
  <c r="H74" i="18"/>
  <c r="K77" i="13"/>
  <c r="H77" i="18"/>
  <c r="H75" i="16"/>
  <c r="H81" i="16"/>
  <c r="H83" i="18"/>
  <c r="K67" i="13"/>
  <c r="H65" i="16"/>
  <c r="H67" i="18"/>
  <c r="K69" i="13"/>
  <c r="H69" i="18"/>
  <c r="H67" i="16"/>
  <c r="K71" i="13"/>
  <c r="H69" i="16"/>
  <c r="H71" i="18"/>
  <c r="K73" i="13"/>
  <c r="H73" i="18"/>
  <c r="H71" i="16"/>
  <c r="J63" i="16"/>
  <c r="I63" i="16" s="1"/>
  <c r="G63" i="16" s="1"/>
  <c r="K121" i="13"/>
  <c r="H121" i="18"/>
  <c r="H119" i="16"/>
  <c r="K125" i="13"/>
  <c r="H125" i="18"/>
  <c r="H123" i="16"/>
  <c r="K122" i="13"/>
  <c r="H122" i="18"/>
  <c r="H120" i="16"/>
  <c r="H124" i="18"/>
  <c r="H122" i="16"/>
  <c r="H126" i="18"/>
  <c r="H124" i="16"/>
  <c r="K123" i="13"/>
  <c r="H123" i="18"/>
  <c r="H121" i="16"/>
  <c r="H130" i="18"/>
  <c r="H128" i="16"/>
  <c r="K120" i="13"/>
  <c r="H120" i="18"/>
  <c r="H118" i="16"/>
  <c r="K118" i="13"/>
  <c r="H116" i="16"/>
  <c r="H118" i="18"/>
  <c r="K117" i="13"/>
  <c r="H117" i="18"/>
  <c r="H115" i="16"/>
  <c r="K116" i="13"/>
  <c r="H114" i="16"/>
  <c r="H116" i="18"/>
  <c r="K115" i="13"/>
  <c r="H113" i="16"/>
  <c r="H115" i="18"/>
  <c r="K114" i="13"/>
  <c r="H112" i="16"/>
  <c r="H114" i="18"/>
  <c r="K113" i="13"/>
  <c r="H113" i="18"/>
  <c r="H111" i="16"/>
  <c r="K112" i="13"/>
  <c r="H110" i="16"/>
  <c r="H112" i="18"/>
  <c r="K111" i="13"/>
  <c r="H109" i="16"/>
  <c r="H111" i="18"/>
  <c r="C143" i="13"/>
  <c r="I102" i="16"/>
  <c r="H133" i="16" s="1"/>
  <c r="K109" i="13"/>
  <c r="H109" i="18"/>
  <c r="H107" i="16"/>
  <c r="K110" i="13"/>
  <c r="H108" i="16"/>
  <c r="H110" i="18"/>
  <c r="B39" i="15"/>
  <c r="G30" i="15"/>
  <c r="G48" i="17"/>
  <c r="J76" i="13"/>
  <c r="I76" i="13" s="1"/>
  <c r="J78" i="13"/>
  <c r="I78" i="13" s="1"/>
  <c r="G78" i="13" s="1"/>
  <c r="J80" i="13"/>
  <c r="I80" i="13" s="1"/>
  <c r="G80" i="13" s="1"/>
  <c r="J82" i="13"/>
  <c r="I82" i="13" s="1"/>
  <c r="G82" i="13" s="1"/>
  <c r="J84" i="13"/>
  <c r="I84" i="13" s="1"/>
  <c r="G84" i="13" s="1"/>
  <c r="B36" i="17"/>
  <c r="B38" i="17" s="1"/>
  <c r="G38" i="17" s="1"/>
  <c r="F27" i="13"/>
  <c r="J128" i="13"/>
  <c r="I128" i="13" s="1"/>
  <c r="J77" i="13"/>
  <c r="I77" i="13" s="1"/>
  <c r="G77" i="13" s="1"/>
  <c r="J79" i="13"/>
  <c r="I79" i="13" s="1"/>
  <c r="G79" i="13" s="1"/>
  <c r="J81" i="13"/>
  <c r="I81" i="13" s="1"/>
  <c r="G81" i="13" s="1"/>
  <c r="J83" i="13"/>
  <c r="I83" i="13" s="1"/>
  <c r="G83" i="13" s="1"/>
  <c r="J85" i="13"/>
  <c r="I85" i="13" s="1"/>
  <c r="G47" i="16"/>
  <c r="I58" i="16"/>
  <c r="C133" i="16" s="1"/>
  <c r="G37" i="16"/>
  <c r="J50" i="13"/>
  <c r="I50" i="13" s="1"/>
  <c r="G50" i="13" s="1"/>
  <c r="J54" i="13"/>
  <c r="I54" i="13" s="1"/>
  <c r="G54" i="13" s="1"/>
  <c r="J93" i="13"/>
  <c r="I93" i="13" s="1"/>
  <c r="G93" i="13" s="1"/>
  <c r="J51" i="13"/>
  <c r="I51" i="13" s="1"/>
  <c r="G51" i="13" s="1"/>
  <c r="J55" i="13"/>
  <c r="I55" i="13" s="1"/>
  <c r="G55" i="13" s="1"/>
  <c r="J66" i="13"/>
  <c r="I66" i="13" s="1"/>
  <c r="G66" i="13" s="1"/>
  <c r="J68" i="13"/>
  <c r="I68" i="13" s="1"/>
  <c r="G68" i="13" s="1"/>
  <c r="J70" i="13"/>
  <c r="I70" i="13" s="1"/>
  <c r="G70" i="13" s="1"/>
  <c r="J72" i="13"/>
  <c r="I72" i="13" s="1"/>
  <c r="G72" i="13" s="1"/>
  <c r="J74" i="13"/>
  <c r="I74" i="13" s="1"/>
  <c r="G74" i="13" s="1"/>
  <c r="K82" i="13"/>
  <c r="J52" i="13"/>
  <c r="I52" i="13" s="1"/>
  <c r="G52" i="13" s="1"/>
  <c r="J56" i="13"/>
  <c r="I56" i="13" s="1"/>
  <c r="G56" i="13" s="1"/>
  <c r="J53" i="13"/>
  <c r="I53" i="13" s="1"/>
  <c r="G53" i="13" s="1"/>
  <c r="I57" i="13"/>
  <c r="G57" i="13" s="1"/>
  <c r="J57" i="13"/>
  <c r="J67" i="13"/>
  <c r="I67" i="13" s="1"/>
  <c r="G67" i="13" s="1"/>
  <c r="J69" i="13"/>
  <c r="I69" i="13" s="1"/>
  <c r="G69" i="13" s="1"/>
  <c r="J71" i="13"/>
  <c r="I71" i="13" s="1"/>
  <c r="G71" i="13" s="1"/>
  <c r="J73" i="13"/>
  <c r="I73" i="13" s="1"/>
  <c r="G73" i="13" s="1"/>
  <c r="K83" i="13"/>
  <c r="G119" i="13"/>
  <c r="G128" i="13"/>
  <c r="B36" i="15"/>
  <c r="G36" i="15" s="1"/>
  <c r="J113" i="13"/>
  <c r="I113" i="13" s="1"/>
  <c r="G113" i="13" s="1"/>
  <c r="J121" i="13"/>
  <c r="I121" i="13" s="1"/>
  <c r="G121" i="13" s="1"/>
  <c r="J125" i="13"/>
  <c r="I125" i="13" s="1"/>
  <c r="G125" i="13" s="1"/>
  <c r="G75" i="13"/>
  <c r="J117" i="13"/>
  <c r="I117" i="13" s="1"/>
  <c r="G117" i="13" s="1"/>
  <c r="J123" i="13"/>
  <c r="I123" i="13" s="1"/>
  <c r="G123" i="13" s="1"/>
  <c r="J129" i="13"/>
  <c r="I129" i="13" s="1"/>
  <c r="J109" i="13"/>
  <c r="I109" i="13" s="1"/>
  <c r="J127" i="13"/>
  <c r="I127" i="13" s="1"/>
  <c r="G127" i="13" s="1"/>
  <c r="J111" i="13"/>
  <c r="I111" i="13" s="1"/>
  <c r="G111" i="13" s="1"/>
  <c r="J120" i="13"/>
  <c r="I120" i="13" s="1"/>
  <c r="G120" i="13" s="1"/>
  <c r="J124" i="13"/>
  <c r="I124" i="13" s="1"/>
  <c r="G124" i="13" s="1"/>
  <c r="K126" i="13"/>
  <c r="J115" i="13"/>
  <c r="I115" i="13" s="1"/>
  <c r="G115" i="13" s="1"/>
  <c r="J122" i="13"/>
  <c r="I122" i="13" s="1"/>
  <c r="G122" i="13" s="1"/>
  <c r="K124" i="13"/>
  <c r="J126" i="13"/>
  <c r="I126" i="13" s="1"/>
  <c r="G126" i="13" s="1"/>
  <c r="G129" i="13"/>
  <c r="G94" i="13"/>
  <c r="J110" i="13"/>
  <c r="I110" i="13" s="1"/>
  <c r="G110" i="13" s="1"/>
  <c r="J114" i="13"/>
  <c r="I114" i="13" s="1"/>
  <c r="G114" i="13" s="1"/>
  <c r="J116" i="13"/>
  <c r="I116" i="13" s="1"/>
  <c r="G116" i="13" s="1"/>
  <c r="F102" i="13"/>
  <c r="J102" i="13" s="1"/>
  <c r="I102" i="13" s="1"/>
  <c r="G102" i="13" s="1"/>
  <c r="J112" i="13"/>
  <c r="I112" i="13" s="1"/>
  <c r="G112" i="13" s="1"/>
  <c r="J118" i="13"/>
  <c r="I118" i="13" s="1"/>
  <c r="G118" i="13" s="1"/>
  <c r="F103" i="13"/>
  <c r="J103" i="13" s="1"/>
  <c r="I103" i="13" s="1"/>
  <c r="G103" i="13" s="1"/>
  <c r="I26" i="13"/>
  <c r="B30" i="13" s="1"/>
  <c r="B32" i="13" s="1"/>
  <c r="D33" i="13" s="1"/>
  <c r="D26" i="13"/>
  <c r="G76" i="13"/>
  <c r="G49" i="13"/>
  <c r="G31" i="13" l="1"/>
  <c r="K83" i="18"/>
  <c r="J83" i="18"/>
  <c r="I83" i="18" s="1"/>
  <c r="G83" i="18" s="1"/>
  <c r="K79" i="18"/>
  <c r="J79" i="18"/>
  <c r="I79" i="18" s="1"/>
  <c r="G79" i="18" s="1"/>
  <c r="K67" i="18"/>
  <c r="J67" i="18"/>
  <c r="I67" i="18" s="1"/>
  <c r="G67" i="18" s="1"/>
  <c r="K74" i="18"/>
  <c r="J74" i="18"/>
  <c r="I74" i="18" s="1"/>
  <c r="G74" i="18" s="1"/>
  <c r="K70" i="16"/>
  <c r="J70" i="16"/>
  <c r="I70" i="16" s="1"/>
  <c r="G70" i="16" s="1"/>
  <c r="K82" i="18"/>
  <c r="J82" i="18"/>
  <c r="I82" i="18" s="1"/>
  <c r="G82" i="18" s="1"/>
  <c r="K74" i="16"/>
  <c r="J74" i="16"/>
  <c r="I74" i="16" s="1"/>
  <c r="G74" i="16" s="1"/>
  <c r="K127" i="16"/>
  <c r="J127" i="16"/>
  <c r="I127" i="16" s="1"/>
  <c r="G127" i="16" s="1"/>
  <c r="K79" i="16"/>
  <c r="J79" i="16"/>
  <c r="I79" i="16" s="1"/>
  <c r="G79" i="16" s="1"/>
  <c r="K77" i="16"/>
  <c r="J77" i="16"/>
  <c r="I77" i="16" s="1"/>
  <c r="G77" i="16" s="1"/>
  <c r="G65" i="18"/>
  <c r="K78" i="16"/>
  <c r="J78" i="16"/>
  <c r="I78" i="16" s="1"/>
  <c r="G78" i="16" s="1"/>
  <c r="K129" i="18"/>
  <c r="J129" i="18"/>
  <c r="I129" i="18" s="1"/>
  <c r="G129" i="18" s="1"/>
  <c r="K126" i="16"/>
  <c r="J126" i="16"/>
  <c r="I126" i="16" s="1"/>
  <c r="G126" i="16" s="1"/>
  <c r="K73" i="18"/>
  <c r="J73" i="18"/>
  <c r="I73" i="18" s="1"/>
  <c r="G73" i="18" s="1"/>
  <c r="K81" i="16"/>
  <c r="J81" i="16"/>
  <c r="I81" i="16" s="1"/>
  <c r="G81" i="16" s="1"/>
  <c r="K66" i="18"/>
  <c r="J66" i="18"/>
  <c r="I66" i="18" s="1"/>
  <c r="G66" i="18" s="1"/>
  <c r="K67" i="16"/>
  <c r="J67" i="16"/>
  <c r="I67" i="16" s="1"/>
  <c r="G67" i="16" s="1"/>
  <c r="K65" i="16"/>
  <c r="J65" i="16"/>
  <c r="I65" i="16" s="1"/>
  <c r="G65" i="16" s="1"/>
  <c r="K75" i="16"/>
  <c r="J75" i="16"/>
  <c r="I75" i="16" s="1"/>
  <c r="G75" i="16" s="1"/>
  <c r="K72" i="16"/>
  <c r="J72" i="16"/>
  <c r="I72" i="16" s="1"/>
  <c r="G72" i="16" s="1"/>
  <c r="K66" i="16"/>
  <c r="J66" i="16"/>
  <c r="I66" i="16" s="1"/>
  <c r="G66" i="16" s="1"/>
  <c r="K64" i="16"/>
  <c r="J64" i="16"/>
  <c r="I64" i="16" s="1"/>
  <c r="K82" i="16"/>
  <c r="J82" i="16"/>
  <c r="I82" i="16" s="1"/>
  <c r="G82" i="16" s="1"/>
  <c r="K80" i="16"/>
  <c r="J80" i="16"/>
  <c r="I80" i="16" s="1"/>
  <c r="G80" i="16" s="1"/>
  <c r="K78" i="18"/>
  <c r="J78" i="18"/>
  <c r="I78" i="18" s="1"/>
  <c r="G78" i="18" s="1"/>
  <c r="K76" i="18"/>
  <c r="J76" i="18"/>
  <c r="I76" i="18" s="1"/>
  <c r="G76" i="18" s="1"/>
  <c r="K83" i="16"/>
  <c r="J83" i="16"/>
  <c r="I83" i="16" s="1"/>
  <c r="G83" i="16" s="1"/>
  <c r="K81" i="18"/>
  <c r="J81" i="18"/>
  <c r="I81" i="18" s="1"/>
  <c r="G81" i="18" s="1"/>
  <c r="K71" i="16"/>
  <c r="J71" i="16"/>
  <c r="I71" i="16" s="1"/>
  <c r="G71" i="16" s="1"/>
  <c r="K69" i="16"/>
  <c r="J69" i="16"/>
  <c r="I69" i="16" s="1"/>
  <c r="G69" i="16" s="1"/>
  <c r="K72" i="18"/>
  <c r="J72" i="18"/>
  <c r="I72" i="18" s="1"/>
  <c r="G72" i="18" s="1"/>
  <c r="K68" i="16"/>
  <c r="J68" i="16"/>
  <c r="I68" i="16" s="1"/>
  <c r="G68" i="16" s="1"/>
  <c r="K127" i="18"/>
  <c r="J127" i="18"/>
  <c r="I127" i="18" s="1"/>
  <c r="G127" i="18" s="1"/>
  <c r="K71" i="18"/>
  <c r="J71" i="18"/>
  <c r="I71" i="18" s="1"/>
  <c r="G71" i="18" s="1"/>
  <c r="K69" i="18"/>
  <c r="J69" i="18"/>
  <c r="I69" i="18" s="1"/>
  <c r="G69" i="18" s="1"/>
  <c r="K77" i="18"/>
  <c r="J77" i="18"/>
  <c r="I77" i="18" s="1"/>
  <c r="G77" i="18" s="1"/>
  <c r="K70" i="18"/>
  <c r="J70" i="18"/>
  <c r="I70" i="18" s="1"/>
  <c r="G70" i="18" s="1"/>
  <c r="K68" i="18"/>
  <c r="J68" i="18"/>
  <c r="I68" i="18" s="1"/>
  <c r="G68" i="18" s="1"/>
  <c r="K84" i="18"/>
  <c r="J84" i="18"/>
  <c r="I84" i="18" s="1"/>
  <c r="G84" i="18" s="1"/>
  <c r="K80" i="18"/>
  <c r="J80" i="18"/>
  <c r="I80" i="18" s="1"/>
  <c r="G80" i="18" s="1"/>
  <c r="K76" i="16"/>
  <c r="J76" i="16"/>
  <c r="I76" i="16" s="1"/>
  <c r="G76" i="16" s="1"/>
  <c r="K125" i="16"/>
  <c r="J125" i="16"/>
  <c r="I125" i="16" s="1"/>
  <c r="G125" i="16" s="1"/>
  <c r="K85" i="18"/>
  <c r="J85" i="18"/>
  <c r="I85" i="18" s="1"/>
  <c r="G85" i="18" s="1"/>
  <c r="K128" i="18"/>
  <c r="J128" i="18"/>
  <c r="I128" i="18" s="1"/>
  <c r="G128" i="18" s="1"/>
  <c r="K121" i="16"/>
  <c r="J121" i="16"/>
  <c r="I121" i="16" s="1"/>
  <c r="G121" i="16" s="1"/>
  <c r="K126" i="18"/>
  <c r="J126" i="18"/>
  <c r="I126" i="18" s="1"/>
  <c r="G126" i="18" s="1"/>
  <c r="K122" i="18"/>
  <c r="J122" i="18"/>
  <c r="I122" i="18" s="1"/>
  <c r="G122" i="18" s="1"/>
  <c r="K123" i="18"/>
  <c r="J123" i="18"/>
  <c r="I123" i="18" s="1"/>
  <c r="G123" i="18" s="1"/>
  <c r="K122" i="16"/>
  <c r="J122" i="16"/>
  <c r="I122" i="16" s="1"/>
  <c r="G122" i="16" s="1"/>
  <c r="K119" i="16"/>
  <c r="J119" i="16"/>
  <c r="I119" i="16" s="1"/>
  <c r="G119" i="16" s="1"/>
  <c r="K124" i="18"/>
  <c r="J124" i="18"/>
  <c r="I124" i="18" s="1"/>
  <c r="G124" i="18" s="1"/>
  <c r="K123" i="16"/>
  <c r="J123" i="16"/>
  <c r="I123" i="16" s="1"/>
  <c r="G123" i="16" s="1"/>
  <c r="K121" i="18"/>
  <c r="J121" i="18"/>
  <c r="I121" i="18" s="1"/>
  <c r="G121" i="18" s="1"/>
  <c r="K124" i="16"/>
  <c r="J124" i="16"/>
  <c r="I124" i="16" s="1"/>
  <c r="G124" i="16" s="1"/>
  <c r="K120" i="16"/>
  <c r="J120" i="16"/>
  <c r="I120" i="16" s="1"/>
  <c r="G120" i="16" s="1"/>
  <c r="K125" i="18"/>
  <c r="J125" i="18"/>
  <c r="I125" i="18" s="1"/>
  <c r="G125" i="18" s="1"/>
  <c r="K120" i="18"/>
  <c r="J120" i="18"/>
  <c r="I120" i="18" s="1"/>
  <c r="G120" i="18" s="1"/>
  <c r="K118" i="16"/>
  <c r="J118" i="16"/>
  <c r="I118" i="16" s="1"/>
  <c r="G118" i="16" s="1"/>
  <c r="K118" i="18"/>
  <c r="J118" i="18"/>
  <c r="I118" i="18" s="1"/>
  <c r="G118" i="18" s="1"/>
  <c r="K116" i="16"/>
  <c r="J116" i="16"/>
  <c r="I116" i="16" s="1"/>
  <c r="G116" i="16" s="1"/>
  <c r="K115" i="16"/>
  <c r="J115" i="16"/>
  <c r="I115" i="16" s="1"/>
  <c r="G115" i="16" s="1"/>
  <c r="K117" i="18"/>
  <c r="J117" i="18"/>
  <c r="I117" i="18" s="1"/>
  <c r="G117" i="18" s="1"/>
  <c r="K114" i="16"/>
  <c r="J114" i="16"/>
  <c r="I114" i="16" s="1"/>
  <c r="G114" i="16" s="1"/>
  <c r="K116" i="18"/>
  <c r="J116" i="18"/>
  <c r="I116" i="18" s="1"/>
  <c r="G116" i="18" s="1"/>
  <c r="K113" i="16"/>
  <c r="J113" i="16"/>
  <c r="I113" i="16" s="1"/>
  <c r="G113" i="16" s="1"/>
  <c r="K115" i="18"/>
  <c r="J115" i="18"/>
  <c r="I115" i="18" s="1"/>
  <c r="G115" i="18" s="1"/>
  <c r="K114" i="18"/>
  <c r="J114" i="18"/>
  <c r="I114" i="18" s="1"/>
  <c r="G114" i="18" s="1"/>
  <c r="K112" i="16"/>
  <c r="J112" i="16"/>
  <c r="I112" i="16" s="1"/>
  <c r="G112" i="16" s="1"/>
  <c r="K111" i="16"/>
  <c r="J111" i="16"/>
  <c r="I111" i="16" s="1"/>
  <c r="G111" i="16" s="1"/>
  <c r="K113" i="18"/>
  <c r="J113" i="18"/>
  <c r="I113" i="18" s="1"/>
  <c r="G113" i="18" s="1"/>
  <c r="K110" i="16"/>
  <c r="J110" i="16"/>
  <c r="I110" i="16" s="1"/>
  <c r="G110" i="16" s="1"/>
  <c r="K112" i="18"/>
  <c r="J112" i="18"/>
  <c r="I112" i="18" s="1"/>
  <c r="G112" i="18" s="1"/>
  <c r="K111" i="18"/>
  <c r="J111" i="18"/>
  <c r="I111" i="18" s="1"/>
  <c r="G111" i="18" s="1"/>
  <c r="K109" i="16"/>
  <c r="J109" i="16"/>
  <c r="I109" i="16" s="1"/>
  <c r="G109" i="16" s="1"/>
  <c r="K107" i="16"/>
  <c r="J107" i="16"/>
  <c r="I107" i="16" s="1"/>
  <c r="G107" i="16" s="1"/>
  <c r="K109" i="18"/>
  <c r="J109" i="18"/>
  <c r="I109" i="18" s="1"/>
  <c r="G109" i="18" s="1"/>
  <c r="K110" i="18"/>
  <c r="J110" i="18"/>
  <c r="I110" i="18" s="1"/>
  <c r="K108" i="16"/>
  <c r="J108" i="16"/>
  <c r="I108" i="16" s="1"/>
  <c r="G85" i="13"/>
  <c r="I89" i="13"/>
  <c r="C136" i="13" s="1"/>
  <c r="I60" i="13"/>
  <c r="B41" i="15"/>
  <c r="G41" i="15" s="1"/>
  <c r="I133" i="13"/>
  <c r="H136" i="13" s="1"/>
  <c r="G109" i="13"/>
  <c r="I104" i="13"/>
  <c r="H135" i="13" s="1"/>
  <c r="B37" i="13"/>
  <c r="B39" i="13" s="1"/>
  <c r="B42" i="13"/>
  <c r="G65" i="13"/>
  <c r="G64" i="16" l="1"/>
  <c r="I87" i="16"/>
  <c r="C134" i="16" s="1"/>
  <c r="C135" i="16" s="1"/>
  <c r="I89" i="18"/>
  <c r="C136" i="18" s="1"/>
  <c r="C137" i="18" s="1"/>
  <c r="G108" i="16"/>
  <c r="I131" i="16"/>
  <c r="H134" i="16" s="1"/>
  <c r="H135" i="16" s="1"/>
  <c r="G110" i="18"/>
  <c r="I133" i="18"/>
  <c r="H136" i="18" s="1"/>
  <c r="H137" i="18" s="1"/>
  <c r="B44" i="13"/>
  <c r="G44" i="13" s="1"/>
  <c r="F45" i="13" s="1"/>
  <c r="H137" i="13"/>
  <c r="K55" i="15"/>
  <c r="F55" i="15"/>
  <c r="K56" i="15"/>
  <c r="F56" i="15"/>
  <c r="J56" i="15" s="1"/>
  <c r="I56" i="15" s="1"/>
  <c r="G56" i="15" s="1"/>
  <c r="G39" i="13"/>
  <c r="F58" i="13"/>
  <c r="J58" i="13" s="1"/>
  <c r="F59" i="13"/>
  <c r="J59" i="13" s="1"/>
  <c r="C139" i="18" l="1"/>
  <c r="C140" i="18" s="1"/>
  <c r="C142" i="18" s="1"/>
  <c r="E142" i="18" s="1"/>
  <c r="C137" i="16"/>
  <c r="C138" i="16" s="1"/>
  <c r="C140" i="16" s="1"/>
  <c r="E140" i="16" s="1"/>
  <c r="J55" i="15"/>
  <c r="I55" i="15" s="1"/>
  <c r="C95" i="15"/>
  <c r="E95" i="15" s="1"/>
  <c r="I59" i="13"/>
  <c r="G59" i="13" s="1"/>
  <c r="E143" i="13"/>
  <c r="I58" i="13"/>
  <c r="G55" i="15" l="1"/>
  <c r="I57" i="15"/>
  <c r="C89" i="15" s="1"/>
  <c r="G58" i="13"/>
  <c r="C135" i="13"/>
  <c r="C137" i="13" s="1"/>
  <c r="C139" i="13" s="1"/>
  <c r="C140" i="13" s="1"/>
  <c r="C142" i="13" s="1"/>
  <c r="E142" i="13" l="1"/>
  <c r="E11" i="6" l="1"/>
  <c r="E12" i="6"/>
  <c r="E13" i="6"/>
  <c r="E14" i="6"/>
  <c r="E15" i="6"/>
  <c r="E16" i="6"/>
  <c r="E17" i="6"/>
  <c r="E18" i="6"/>
  <c r="E19" i="6"/>
  <c r="E20" i="6"/>
  <c r="E21" i="6"/>
  <c r="E22" i="6"/>
  <c r="E23" i="6"/>
  <c r="E24" i="6"/>
  <c r="E25" i="6"/>
  <c r="E10" i="6" l="1"/>
  <c r="H11" i="6"/>
  <c r="H65" i="6" l="1"/>
  <c r="H66" i="6"/>
  <c r="H67" i="6"/>
  <c r="H68" i="6"/>
  <c r="H69" i="6"/>
  <c r="H70" i="6"/>
  <c r="H71" i="6"/>
  <c r="H72" i="6"/>
  <c r="H73" i="6"/>
  <c r="H75" i="6"/>
  <c r="H76" i="6"/>
  <c r="H77" i="6"/>
  <c r="H78" i="6"/>
  <c r="H79" i="6"/>
  <c r="H80" i="6"/>
  <c r="H81" i="6"/>
  <c r="H82" i="6"/>
  <c r="H83" i="6"/>
  <c r="H84" i="6"/>
  <c r="H85" i="6"/>
  <c r="H64" i="6"/>
  <c r="H64" i="17" s="1"/>
  <c r="K81" i="6" l="1"/>
  <c r="H79" i="15"/>
  <c r="H81" i="17"/>
  <c r="K84" i="6"/>
  <c r="H82" i="15"/>
  <c r="H84" i="17"/>
  <c r="K82" i="6"/>
  <c r="H82" i="17"/>
  <c r="H80" i="15"/>
  <c r="K83" i="6"/>
  <c r="H81" i="15"/>
  <c r="H83" i="17"/>
  <c r="K79" i="6"/>
  <c r="H77" i="15"/>
  <c r="H79" i="17"/>
  <c r="K78" i="6"/>
  <c r="H78" i="17"/>
  <c r="H76" i="15"/>
  <c r="K80" i="6"/>
  <c r="H78" i="15"/>
  <c r="H80" i="17"/>
  <c r="K77" i="6"/>
  <c r="H75" i="15"/>
  <c r="H77" i="17"/>
  <c r="K76" i="6"/>
  <c r="H74" i="15"/>
  <c r="H76" i="17"/>
  <c r="K75" i="6"/>
  <c r="H75" i="17"/>
  <c r="H73" i="15"/>
  <c r="K73" i="6"/>
  <c r="H73" i="17"/>
  <c r="H71" i="15"/>
  <c r="K72" i="6"/>
  <c r="H72" i="17"/>
  <c r="H70" i="15"/>
  <c r="K71" i="6"/>
  <c r="H71" i="17"/>
  <c r="H69" i="15"/>
  <c r="K70" i="6"/>
  <c r="H70" i="17"/>
  <c r="H68" i="15"/>
  <c r="K69" i="6"/>
  <c r="H69" i="17"/>
  <c r="H67" i="15"/>
  <c r="K68" i="6"/>
  <c r="H68" i="17"/>
  <c r="H66" i="15"/>
  <c r="K67" i="6"/>
  <c r="H67" i="17"/>
  <c r="H65" i="15"/>
  <c r="K66" i="6"/>
  <c r="H66" i="17"/>
  <c r="H64" i="15"/>
  <c r="K65" i="6"/>
  <c r="H65" i="17"/>
  <c r="H63" i="15"/>
  <c r="H83" i="15"/>
  <c r="H85" i="17"/>
  <c r="K64" i="17"/>
  <c r="J64" i="17"/>
  <c r="I64" i="17" s="1"/>
  <c r="K64" i="6"/>
  <c r="H62" i="15"/>
  <c r="F81" i="6"/>
  <c r="J81" i="6" s="1"/>
  <c r="I81" i="6" s="1"/>
  <c r="J86" i="6"/>
  <c r="F83" i="6"/>
  <c r="J83" i="6" s="1"/>
  <c r="I83" i="6" s="1"/>
  <c r="F82" i="6"/>
  <c r="J82" i="6" s="1"/>
  <c r="I82" i="6" s="1"/>
  <c r="F79" i="6"/>
  <c r="J79" i="6" s="1"/>
  <c r="I79" i="6" s="1"/>
  <c r="K80" i="15" l="1"/>
  <c r="J80" i="15"/>
  <c r="I80" i="15" s="1"/>
  <c r="G80" i="15" s="1"/>
  <c r="K82" i="15"/>
  <c r="J82" i="15"/>
  <c r="I82" i="15" s="1"/>
  <c r="G82" i="15" s="1"/>
  <c r="K83" i="17"/>
  <c r="J83" i="17"/>
  <c r="I83" i="17" s="1"/>
  <c r="G83" i="17" s="1"/>
  <c r="K82" i="17"/>
  <c r="J82" i="17"/>
  <c r="I82" i="17" s="1"/>
  <c r="G82" i="17" s="1"/>
  <c r="K79" i="17"/>
  <c r="J79" i="17"/>
  <c r="I79" i="17" s="1"/>
  <c r="G79" i="17" s="1"/>
  <c r="K81" i="15"/>
  <c r="J81" i="15"/>
  <c r="I81" i="15" s="1"/>
  <c r="G81" i="15" s="1"/>
  <c r="K81" i="17"/>
  <c r="J81" i="17"/>
  <c r="I81" i="17" s="1"/>
  <c r="G81" i="17" s="1"/>
  <c r="K77" i="15"/>
  <c r="J77" i="15"/>
  <c r="I77" i="15" s="1"/>
  <c r="G77" i="15" s="1"/>
  <c r="K84" i="17"/>
  <c r="J84" i="17"/>
  <c r="I84" i="17" s="1"/>
  <c r="G84" i="17" s="1"/>
  <c r="J79" i="15"/>
  <c r="I79" i="15" s="1"/>
  <c r="G79" i="15" s="1"/>
  <c r="K79" i="15"/>
  <c r="K76" i="15"/>
  <c r="J76" i="15"/>
  <c r="I76" i="15" s="1"/>
  <c r="G76" i="15" s="1"/>
  <c r="K78" i="17"/>
  <c r="J78" i="17"/>
  <c r="I78" i="17" s="1"/>
  <c r="G78" i="17" s="1"/>
  <c r="K80" i="17"/>
  <c r="J80" i="17"/>
  <c r="I80" i="17" s="1"/>
  <c r="G80" i="17" s="1"/>
  <c r="K78" i="15"/>
  <c r="J78" i="15"/>
  <c r="I78" i="15" s="1"/>
  <c r="G78" i="15" s="1"/>
  <c r="K77" i="17"/>
  <c r="J77" i="17"/>
  <c r="I77" i="17" s="1"/>
  <c r="G77" i="17" s="1"/>
  <c r="K75" i="15"/>
  <c r="J75" i="15"/>
  <c r="I75" i="15" s="1"/>
  <c r="G75" i="15" s="1"/>
  <c r="K74" i="15"/>
  <c r="J74" i="15"/>
  <c r="I74" i="15" s="1"/>
  <c r="G74" i="15" s="1"/>
  <c r="K76" i="17"/>
  <c r="J76" i="17"/>
  <c r="I76" i="17" s="1"/>
  <c r="G76" i="17" s="1"/>
  <c r="K73" i="15"/>
  <c r="J73" i="15"/>
  <c r="I73" i="15" s="1"/>
  <c r="G73" i="15" s="1"/>
  <c r="K75" i="17"/>
  <c r="J75" i="17"/>
  <c r="I75" i="17" s="1"/>
  <c r="G75" i="17" s="1"/>
  <c r="K71" i="15"/>
  <c r="J71" i="15"/>
  <c r="I71" i="15" s="1"/>
  <c r="G71" i="15" s="1"/>
  <c r="K73" i="17"/>
  <c r="J73" i="17"/>
  <c r="I73" i="17" s="1"/>
  <c r="G73" i="17" s="1"/>
  <c r="K70" i="15"/>
  <c r="J70" i="15"/>
  <c r="I70" i="15" s="1"/>
  <c r="G70" i="15" s="1"/>
  <c r="K72" i="17"/>
  <c r="J72" i="17"/>
  <c r="I72" i="17" s="1"/>
  <c r="G72" i="17" s="1"/>
  <c r="K69" i="15"/>
  <c r="J69" i="15"/>
  <c r="I69" i="15" s="1"/>
  <c r="G69" i="15" s="1"/>
  <c r="K71" i="17"/>
  <c r="J71" i="17"/>
  <c r="I71" i="17" s="1"/>
  <c r="G71" i="17" s="1"/>
  <c r="K68" i="15"/>
  <c r="J68" i="15"/>
  <c r="I68" i="15" s="1"/>
  <c r="G68" i="15" s="1"/>
  <c r="K70" i="17"/>
  <c r="J70" i="17"/>
  <c r="I70" i="17" s="1"/>
  <c r="G70" i="17" s="1"/>
  <c r="K67" i="15"/>
  <c r="J67" i="15"/>
  <c r="I67" i="15" s="1"/>
  <c r="G67" i="15" s="1"/>
  <c r="K69" i="17"/>
  <c r="J69" i="17"/>
  <c r="I69" i="17" s="1"/>
  <c r="G69" i="17" s="1"/>
  <c r="K66" i="15"/>
  <c r="J66" i="15"/>
  <c r="I66" i="15" s="1"/>
  <c r="G66" i="15" s="1"/>
  <c r="K68" i="17"/>
  <c r="J68" i="17"/>
  <c r="I68" i="17" s="1"/>
  <c r="G68" i="17" s="1"/>
  <c r="K67" i="17"/>
  <c r="J67" i="17"/>
  <c r="I67" i="17" s="1"/>
  <c r="G67" i="17" s="1"/>
  <c r="K65" i="15"/>
  <c r="J65" i="15"/>
  <c r="I65" i="15" s="1"/>
  <c r="G65" i="15" s="1"/>
  <c r="K66" i="17"/>
  <c r="J66" i="17"/>
  <c r="I66" i="17" s="1"/>
  <c r="G66" i="17" s="1"/>
  <c r="K64" i="15"/>
  <c r="J64" i="15"/>
  <c r="I64" i="15" s="1"/>
  <c r="G64" i="15" s="1"/>
  <c r="K63" i="15"/>
  <c r="J63" i="15"/>
  <c r="I63" i="15" s="1"/>
  <c r="G63" i="15" s="1"/>
  <c r="K65" i="17"/>
  <c r="J65" i="17"/>
  <c r="I65" i="17" s="1"/>
  <c r="G65" i="17" s="1"/>
  <c r="G64" i="17"/>
  <c r="K62" i="15"/>
  <c r="J62" i="15"/>
  <c r="I62" i="15" s="1"/>
  <c r="F80" i="6"/>
  <c r="J80" i="6" s="1"/>
  <c r="I80" i="6" s="1"/>
  <c r="F84" i="6"/>
  <c r="J84" i="6" s="1"/>
  <c r="I84" i="6" s="1"/>
  <c r="I88" i="17" l="1"/>
  <c r="C92" i="17" s="1"/>
  <c r="C93" i="17" s="1"/>
  <c r="C94" i="17" s="1"/>
  <c r="C96" i="17" s="1"/>
  <c r="E96" i="17" s="1"/>
  <c r="I86" i="15"/>
  <c r="C90" i="15" s="1"/>
  <c r="C91" i="15" s="1"/>
  <c r="C92" i="15" s="1"/>
  <c r="C94" i="15" s="1"/>
  <c r="E94" i="15" s="1"/>
  <c r="G62" i="15"/>
  <c r="F85" i="6"/>
  <c r="F77" i="6"/>
  <c r="J77" i="6" s="1"/>
  <c r="F76" i="6"/>
  <c r="J76" i="6" s="1"/>
  <c r="F75" i="6"/>
  <c r="J75" i="6" s="1"/>
  <c r="F73" i="6"/>
  <c r="J73" i="6" s="1"/>
  <c r="F72" i="6"/>
  <c r="J72" i="6" s="1"/>
  <c r="I72" i="6" s="1"/>
  <c r="F71" i="6"/>
  <c r="J71" i="6" s="1"/>
  <c r="I71" i="6" s="1"/>
  <c r="F70" i="6"/>
  <c r="J70" i="6" s="1"/>
  <c r="I70" i="6" s="1"/>
  <c r="F69" i="6"/>
  <c r="J69" i="6" s="1"/>
  <c r="I69" i="6" s="1"/>
  <c r="F68" i="6"/>
  <c r="J68" i="6" s="1"/>
  <c r="I68" i="6" s="1"/>
  <c r="F67" i="6"/>
  <c r="J67" i="6" s="1"/>
  <c r="I67" i="6" s="1"/>
  <c r="F66" i="6"/>
  <c r="J66" i="6" s="1"/>
  <c r="I66" i="6" s="1"/>
  <c r="F65" i="6"/>
  <c r="J65" i="6" s="1"/>
  <c r="I65" i="6" s="1"/>
  <c r="F64" i="6"/>
  <c r="J64" i="6" s="1"/>
  <c r="I64" i="6" s="1"/>
  <c r="G81" i="6" l="1"/>
  <c r="I75" i="6"/>
  <c r="G75" i="6" s="1"/>
  <c r="G82" i="6"/>
  <c r="I76" i="6"/>
  <c r="G76" i="6" s="1"/>
  <c r="G83" i="6"/>
  <c r="I77" i="6"/>
  <c r="G77" i="6" s="1"/>
  <c r="G79" i="6"/>
  <c r="I73" i="6"/>
  <c r="G73" i="6" s="1"/>
  <c r="D10" i="6"/>
  <c r="G72" i="6"/>
  <c r="G71" i="6"/>
  <c r="G70" i="6"/>
  <c r="G69" i="6"/>
  <c r="G68" i="6"/>
  <c r="G67" i="6"/>
  <c r="G66" i="6"/>
  <c r="G65" i="6"/>
  <c r="F56" i="6"/>
  <c r="J56" i="6" s="1"/>
  <c r="F55" i="6"/>
  <c r="J55" i="6" s="1"/>
  <c r="F54" i="6"/>
  <c r="J54" i="6" s="1"/>
  <c r="F53" i="6"/>
  <c r="J53" i="6" s="1"/>
  <c r="F52" i="6"/>
  <c r="J52" i="6" s="1"/>
  <c r="F51" i="6"/>
  <c r="J51" i="6" s="1"/>
  <c r="F50" i="6"/>
  <c r="J50" i="6" s="1"/>
  <c r="F49" i="6"/>
  <c r="J49" i="6" s="1"/>
  <c r="F48" i="6"/>
  <c r="J48" i="6" s="1"/>
  <c r="D37" i="6"/>
  <c r="H25" i="6"/>
  <c r="I25" i="6" s="1"/>
  <c r="H24" i="6"/>
  <c r="I24" i="6" s="1"/>
  <c r="H23" i="6"/>
  <c r="I23" i="6" s="1"/>
  <c r="H22" i="6"/>
  <c r="I22" i="6" s="1"/>
  <c r="H21" i="6"/>
  <c r="I21" i="6" s="1"/>
  <c r="H20" i="6"/>
  <c r="I20" i="6" s="1"/>
  <c r="H19" i="6"/>
  <c r="I19" i="6" s="1"/>
  <c r="H18" i="6"/>
  <c r="I18" i="6" s="1"/>
  <c r="H17" i="6"/>
  <c r="I17" i="6" s="1"/>
  <c r="H16" i="6"/>
  <c r="I16" i="6" s="1"/>
  <c r="H15" i="6"/>
  <c r="I15" i="6" s="1"/>
  <c r="H14" i="6"/>
  <c r="I14" i="6" s="1"/>
  <c r="H13" i="6"/>
  <c r="I13" i="6" s="1"/>
  <c r="H12" i="6"/>
  <c r="I12" i="6" s="1"/>
  <c r="I11" i="6"/>
  <c r="H10" i="6"/>
  <c r="I10" i="6" s="1"/>
  <c r="B26" i="6"/>
  <c r="D25" i="6"/>
  <c r="D24" i="6"/>
  <c r="D23" i="6"/>
  <c r="D22" i="6"/>
  <c r="D21" i="6"/>
  <c r="D20" i="6"/>
  <c r="D19" i="6"/>
  <c r="D18" i="6"/>
  <c r="D16" i="6"/>
  <c r="D15" i="6"/>
  <c r="D14" i="6"/>
  <c r="D13" i="6"/>
  <c r="D12" i="6"/>
  <c r="D11" i="6"/>
  <c r="G7" i="6" l="1"/>
  <c r="F27" i="6" s="1"/>
  <c r="I52" i="6"/>
  <c r="G52" i="6" s="1"/>
  <c r="I56" i="6"/>
  <c r="G56" i="6" s="1"/>
  <c r="I51" i="6"/>
  <c r="G51" i="6" s="1"/>
  <c r="I49" i="6"/>
  <c r="G49" i="6" s="1"/>
  <c r="I53" i="6"/>
  <c r="G53" i="6" s="1"/>
  <c r="I55" i="6"/>
  <c r="G55" i="6" s="1"/>
  <c r="I50" i="6"/>
  <c r="G50" i="6" s="1"/>
  <c r="I54" i="6"/>
  <c r="G54" i="6" s="1"/>
  <c r="D26" i="6"/>
  <c r="I26" i="6"/>
  <c r="B30" i="6" l="1"/>
  <c r="B32" i="6" s="1"/>
  <c r="B36" i="6"/>
  <c r="B38" i="6" s="1"/>
  <c r="G38" i="6" s="1"/>
  <c r="I48" i="6"/>
  <c r="G64" i="6"/>
  <c r="B41" i="6" l="1"/>
  <c r="G31" i="6"/>
  <c r="K58" i="6"/>
  <c r="G48" i="6"/>
  <c r="F74" i="6"/>
  <c r="J74" i="6" s="1"/>
  <c r="F78" i="6"/>
  <c r="J78" i="6" s="1"/>
  <c r="G84" i="6" l="1"/>
  <c r="I78" i="6"/>
  <c r="G78" i="6" s="1"/>
  <c r="G80" i="6"/>
  <c r="I74" i="6"/>
  <c r="F57" i="6"/>
  <c r="J57" i="6" s="1"/>
  <c r="I57" i="6" s="1"/>
  <c r="K57" i="6"/>
  <c r="F58" i="6"/>
  <c r="J58" i="6" s="1"/>
  <c r="I58" i="6" s="1"/>
  <c r="B43" i="6"/>
  <c r="G43" i="6" s="1"/>
  <c r="I88" i="6" l="1"/>
  <c r="C92" i="6" s="1"/>
  <c r="C97" i="6"/>
  <c r="E97" i="6" s="1"/>
  <c r="G58" i="6"/>
  <c r="G74" i="6"/>
  <c r="G57" i="6"/>
  <c r="I59" i="6" l="1"/>
  <c r="C91" i="6" s="1"/>
  <c r="C93" i="6" s="1"/>
  <c r="C94" i="6" s="1"/>
  <c r="C96" i="6" s="1"/>
  <c r="E96" i="6" s="1"/>
</calcChain>
</file>

<file path=xl/comments1.xml><?xml version="1.0" encoding="utf-8"?>
<comments xmlns="http://schemas.openxmlformats.org/spreadsheetml/2006/main">
  <authors>
    <author>201109</author>
    <author>201810</author>
  </authors>
  <commentList>
    <comment ref="G10" authorId="0" shapeId="0">
      <text>
        <r>
          <rPr>
            <b/>
            <sz val="9"/>
            <color indexed="81"/>
            <rFont val="ＭＳ Ｐゴシック"/>
            <family val="3"/>
            <charset val="128"/>
          </rPr>
          <t xml:space="preserve">同時使用水栓は最も圧力の損失が大きい給水栓を中心に同時に使用する水栓を選択し入力する。
</t>
        </r>
        <r>
          <rPr>
            <sz val="9"/>
            <color indexed="81"/>
            <rFont val="ＭＳ Ｐゴシック"/>
            <family val="3"/>
            <charset val="128"/>
          </rPr>
          <t xml:space="preserve">
通常「台所流し」「洗濯流し」「洗面器」「大便器」より選択する</t>
        </r>
      </text>
    </comment>
    <comment ref="B30" authorId="1" shapeId="0">
      <text>
        <r>
          <rPr>
            <b/>
            <sz val="9"/>
            <color indexed="81"/>
            <rFont val="MS P ゴシック"/>
            <family val="3"/>
            <charset val="128"/>
          </rPr>
          <t>損失水頭の計算には使用しない水量</t>
        </r>
      </text>
    </comment>
    <comment ref="B32" authorId="1" shapeId="0">
      <text>
        <r>
          <rPr>
            <b/>
            <sz val="9"/>
            <color indexed="81"/>
            <rFont val="MS P ゴシック"/>
            <family val="3"/>
            <charset val="128"/>
          </rPr>
          <t>損失水頭の計算に使用する水量</t>
        </r>
      </text>
    </comment>
    <comment ref="B33" authorId="0" shapeId="0">
      <text>
        <r>
          <rPr>
            <b/>
            <sz val="9"/>
            <color indexed="81"/>
            <rFont val="ＭＳ Ｐゴシック"/>
            <family val="3"/>
            <charset val="128"/>
          </rPr>
          <t>調査した最小動水圧を入力する。</t>
        </r>
        <r>
          <rPr>
            <sz val="9"/>
            <color indexed="81"/>
            <rFont val="ＭＳ Ｐゴシック"/>
            <family val="3"/>
            <charset val="128"/>
          </rPr>
          <t xml:space="preserve">
朝７時から８時の時間帯が最小動水圧となる可能性が高い
</t>
        </r>
      </text>
    </comment>
    <comment ref="B37"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B42"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E48"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48" authorId="0" shapeId="0">
      <text>
        <r>
          <rPr>
            <b/>
            <sz val="9"/>
            <color indexed="81"/>
            <rFont val="ＭＳ Ｐゴシック"/>
            <family val="3"/>
            <charset val="128"/>
          </rPr>
          <t>管延長を入力する。</t>
        </r>
      </text>
    </comment>
    <comment ref="B64" authorId="0" shapeId="0">
      <text>
        <r>
          <rPr>
            <b/>
            <sz val="9"/>
            <color indexed="81"/>
            <rFont val="ＭＳ Ｐゴシック"/>
            <family val="3"/>
            <charset val="128"/>
          </rPr>
          <t>給水器具を入力してその口径、区間の流量を上表と同様に入力する。</t>
        </r>
      </text>
    </comment>
    <comment ref="I85"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86" authorId="0" shapeId="0">
      <text>
        <r>
          <rPr>
            <b/>
            <sz val="9"/>
            <color indexed="81"/>
            <rFont val="ＭＳ Ｐゴシック"/>
            <family val="3"/>
            <charset val="128"/>
          </rPr>
          <t>配水管から最高位の給水栓までの高さを入力</t>
        </r>
      </text>
    </comment>
    <comment ref="I87"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List>
</comments>
</file>

<file path=xl/comments2.xml><?xml version="1.0" encoding="utf-8"?>
<comments xmlns="http://schemas.openxmlformats.org/spreadsheetml/2006/main">
  <authors>
    <author>201109</author>
  </authors>
  <commentList>
    <comment ref="G10" authorId="0" shapeId="0">
      <text>
        <r>
          <rPr>
            <b/>
            <sz val="9"/>
            <color indexed="81"/>
            <rFont val="ＭＳ Ｐゴシック"/>
            <family val="3"/>
            <charset val="128"/>
          </rPr>
          <t xml:space="preserve">同時使用水栓は最も圧力の損失が大きい給水栓を中心に同時に使用する水栓を選択し入力する。
</t>
        </r>
        <r>
          <rPr>
            <sz val="9"/>
            <color indexed="81"/>
            <rFont val="ＭＳ Ｐゴシック"/>
            <family val="3"/>
            <charset val="128"/>
          </rPr>
          <t xml:space="preserve">
通常「台所流し」「洗濯流し」「洗面器」「大便器」より選択する</t>
        </r>
      </text>
    </comment>
    <comment ref="B31" authorId="0" shapeId="0">
      <text>
        <r>
          <rPr>
            <b/>
            <sz val="9"/>
            <color indexed="81"/>
            <rFont val="ＭＳ Ｐゴシック"/>
            <family val="3"/>
            <charset val="128"/>
          </rPr>
          <t>調査した最小動水圧を入力する。</t>
        </r>
        <r>
          <rPr>
            <sz val="9"/>
            <color indexed="81"/>
            <rFont val="ＭＳ Ｐゴシック"/>
            <family val="3"/>
            <charset val="128"/>
          </rPr>
          <t xml:space="preserve">
朝７時から８時の時間帯が最小動水圧となる可能性が高い
</t>
        </r>
      </text>
    </comment>
    <comment ref="B35"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B40"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E46"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46" authorId="0" shapeId="0">
      <text>
        <r>
          <rPr>
            <b/>
            <sz val="9"/>
            <color indexed="81"/>
            <rFont val="ＭＳ Ｐゴシック"/>
            <family val="3"/>
            <charset val="128"/>
          </rPr>
          <t>管延長を入力する。</t>
        </r>
      </text>
    </comment>
    <comment ref="B62" authorId="0" shapeId="0">
      <text>
        <r>
          <rPr>
            <b/>
            <sz val="9"/>
            <color indexed="81"/>
            <rFont val="ＭＳ Ｐゴシック"/>
            <family val="3"/>
            <charset val="128"/>
          </rPr>
          <t>給水器具を入力してその口径、区間の流量を上表と同様に入力する。</t>
        </r>
      </text>
    </comment>
    <comment ref="I83"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84" authorId="0" shapeId="0">
      <text>
        <r>
          <rPr>
            <b/>
            <sz val="9"/>
            <color indexed="81"/>
            <rFont val="ＭＳ Ｐゴシック"/>
            <family val="3"/>
            <charset val="128"/>
          </rPr>
          <t>配水管から最高位の給水栓までの高さを入力</t>
        </r>
      </text>
    </comment>
    <comment ref="I85"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List>
</comments>
</file>

<file path=xl/comments3.xml><?xml version="1.0" encoding="utf-8"?>
<comments xmlns="http://schemas.openxmlformats.org/spreadsheetml/2006/main">
  <authors>
    <author>201109</author>
  </authors>
  <commentList>
    <comment ref="G10" authorId="0" shapeId="0">
      <text>
        <r>
          <rPr>
            <b/>
            <sz val="9"/>
            <color indexed="81"/>
            <rFont val="ＭＳ Ｐゴシック"/>
            <family val="3"/>
            <charset val="128"/>
          </rPr>
          <t xml:space="preserve">同時使用水栓は最も圧力の損失が大きい給水栓を中心に同時に使用する水栓を選択し入力する。
</t>
        </r>
        <r>
          <rPr>
            <sz val="9"/>
            <color indexed="81"/>
            <rFont val="ＭＳ Ｐゴシック"/>
            <family val="3"/>
            <charset val="128"/>
          </rPr>
          <t xml:space="preserve">
通常「台所流し」「洗濯流し」「洗面器」「大便器」より選択する</t>
        </r>
      </text>
    </comment>
    <comment ref="B33" authorId="0" shapeId="0">
      <text>
        <r>
          <rPr>
            <b/>
            <sz val="9"/>
            <color indexed="81"/>
            <rFont val="ＭＳ Ｐゴシック"/>
            <family val="3"/>
            <charset val="128"/>
          </rPr>
          <t>調査した最小動水圧を入力する。</t>
        </r>
        <r>
          <rPr>
            <sz val="9"/>
            <color indexed="81"/>
            <rFont val="ＭＳ Ｐゴシック"/>
            <family val="3"/>
            <charset val="128"/>
          </rPr>
          <t xml:space="preserve">
朝７時から８時の時間帯が最小動水圧となる可能性が高い
</t>
        </r>
      </text>
    </comment>
    <comment ref="B37"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B42"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E48"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48" authorId="0" shapeId="0">
      <text>
        <r>
          <rPr>
            <b/>
            <sz val="9"/>
            <color indexed="81"/>
            <rFont val="ＭＳ Ｐゴシック"/>
            <family val="3"/>
            <charset val="128"/>
          </rPr>
          <t>管延長を入力する。</t>
        </r>
      </text>
    </comment>
    <comment ref="B64" authorId="0" shapeId="0">
      <text>
        <r>
          <rPr>
            <b/>
            <sz val="9"/>
            <color indexed="81"/>
            <rFont val="ＭＳ Ｐゴシック"/>
            <family val="3"/>
            <charset val="128"/>
          </rPr>
          <t>給水器具を入力してその口径、区間の流量を上表と同様に入力する。</t>
        </r>
      </text>
    </comment>
    <comment ref="I85"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86" authorId="0" shapeId="0">
      <text>
        <r>
          <rPr>
            <b/>
            <sz val="9"/>
            <color indexed="81"/>
            <rFont val="ＭＳ Ｐゴシック"/>
            <family val="3"/>
            <charset val="128"/>
          </rPr>
          <t>配水管から最高位の給水栓までの高さを入力</t>
        </r>
      </text>
    </comment>
    <comment ref="I87"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List>
</comments>
</file>

<file path=xl/comments4.xml><?xml version="1.0" encoding="utf-8"?>
<comments xmlns="http://schemas.openxmlformats.org/spreadsheetml/2006/main">
  <authors>
    <author>201109</author>
    <author>201810</author>
  </authors>
  <commentList>
    <comment ref="G10" authorId="0" shapeId="0">
      <text>
        <r>
          <rPr>
            <b/>
            <sz val="9"/>
            <color indexed="81"/>
            <rFont val="ＭＳ Ｐゴシック"/>
            <family val="3"/>
            <charset val="128"/>
          </rPr>
          <t xml:space="preserve">同時使用水栓は最も圧力の損失が大きい給水栓を中心に同時に使用する水栓を選択し入力する。
</t>
        </r>
        <r>
          <rPr>
            <sz val="9"/>
            <color indexed="81"/>
            <rFont val="ＭＳ Ｐゴシック"/>
            <family val="3"/>
            <charset val="128"/>
          </rPr>
          <t xml:space="preserve">
通常「台所流し」「洗濯流し」「洗面器」「大便器」より選択する</t>
        </r>
      </text>
    </comment>
    <comment ref="B30" authorId="1" shapeId="0">
      <text>
        <r>
          <rPr>
            <b/>
            <sz val="9"/>
            <color indexed="81"/>
            <rFont val="MS P ゴシック"/>
            <family val="3"/>
            <charset val="128"/>
          </rPr>
          <t>損失水頭の計算に使用しない水量</t>
        </r>
      </text>
    </comment>
    <comment ref="B32" authorId="1" shapeId="0">
      <text>
        <r>
          <rPr>
            <b/>
            <sz val="9"/>
            <color indexed="81"/>
            <rFont val="MS P ゴシック"/>
            <family val="3"/>
            <charset val="128"/>
          </rPr>
          <t>損失水頭の計算に使用する水量</t>
        </r>
      </text>
    </comment>
    <comment ref="B34" authorId="0" shapeId="0">
      <text>
        <r>
          <rPr>
            <b/>
            <sz val="9"/>
            <color indexed="81"/>
            <rFont val="ＭＳ Ｐゴシック"/>
            <family val="3"/>
            <charset val="128"/>
          </rPr>
          <t>調査した最小動水圧を入力する。</t>
        </r>
        <r>
          <rPr>
            <sz val="9"/>
            <color indexed="81"/>
            <rFont val="ＭＳ Ｐゴシック"/>
            <family val="3"/>
            <charset val="128"/>
          </rPr>
          <t xml:space="preserve">
朝７時から８時の時間帯が最小動水圧となる可能性が高い
</t>
        </r>
      </text>
    </comment>
    <comment ref="B38"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B43"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G44" authorId="1" shapeId="0">
      <text>
        <r>
          <rPr>
            <b/>
            <sz val="9"/>
            <color indexed="81"/>
            <rFont val="MS P ゴシック"/>
            <family val="3"/>
            <charset val="128"/>
          </rPr>
          <t>50㎜以上の取出管径の場合は配水管が100㎜以上でなければならないので注意
。</t>
        </r>
      </text>
    </comment>
    <comment ref="E49"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49" authorId="0" shapeId="0">
      <text>
        <r>
          <rPr>
            <b/>
            <sz val="9"/>
            <color indexed="81"/>
            <rFont val="ＭＳ Ｐゴシック"/>
            <family val="3"/>
            <charset val="128"/>
          </rPr>
          <t>管延長を入力する。</t>
        </r>
      </text>
    </comment>
    <comment ref="B65" authorId="0" shapeId="0">
      <text>
        <r>
          <rPr>
            <b/>
            <sz val="9"/>
            <color indexed="81"/>
            <rFont val="ＭＳ Ｐゴシック"/>
            <family val="3"/>
            <charset val="128"/>
          </rPr>
          <t>給水器具を入力してその口径、区間の流量を上表と同様に入力する。</t>
        </r>
      </text>
    </comment>
    <comment ref="D86" authorId="1" shapeId="0">
      <text>
        <r>
          <rPr>
            <sz val="9"/>
            <color indexed="81"/>
            <rFont val="MS P ゴシック"/>
            <family val="3"/>
            <charset val="128"/>
          </rPr>
          <t>ヘッダーが無いときは空欄とする</t>
        </r>
      </text>
    </comment>
    <comment ref="I86"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87" authorId="0" shapeId="0">
      <text>
        <r>
          <rPr>
            <b/>
            <sz val="9"/>
            <color indexed="81"/>
            <rFont val="ＭＳ Ｐゴシック"/>
            <family val="3"/>
            <charset val="128"/>
          </rPr>
          <t xml:space="preserve">配水管から最高位の給水栓までの高さを入力
</t>
        </r>
        <r>
          <rPr>
            <sz val="9"/>
            <color indexed="81"/>
            <rFont val="ＭＳ Ｐゴシック"/>
            <family val="3"/>
            <charset val="128"/>
          </rPr>
          <t>※ちなみに配水管の布設道路面から最高位給水栓までの高さは9m以内であること（施工基準）</t>
        </r>
      </text>
    </comment>
    <comment ref="I88"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 ref="E93"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93" authorId="0" shapeId="0">
      <text>
        <r>
          <rPr>
            <b/>
            <sz val="9"/>
            <color indexed="81"/>
            <rFont val="ＭＳ Ｐゴシック"/>
            <family val="3"/>
            <charset val="128"/>
          </rPr>
          <t>管延長を入力する。</t>
        </r>
      </text>
    </comment>
    <comment ref="B109" authorId="0" shapeId="0">
      <text>
        <r>
          <rPr>
            <b/>
            <sz val="9"/>
            <color indexed="81"/>
            <rFont val="ＭＳ Ｐゴシック"/>
            <family val="3"/>
            <charset val="128"/>
          </rPr>
          <t>給水器具を入力してその口径、区間の流量を上表と同様に入力する。</t>
        </r>
      </text>
    </comment>
    <comment ref="I130"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131" authorId="0" shapeId="0">
      <text>
        <r>
          <rPr>
            <b/>
            <sz val="9"/>
            <color indexed="81"/>
            <rFont val="ＭＳ Ｐゴシック"/>
            <family val="3"/>
            <charset val="128"/>
          </rPr>
          <t xml:space="preserve">配水管から最高位の給水栓までの高さを入力
</t>
        </r>
        <r>
          <rPr>
            <sz val="9"/>
            <color indexed="81"/>
            <rFont val="ＭＳ Ｐゴシック"/>
            <family val="3"/>
            <charset val="128"/>
          </rPr>
          <t>※ちなみに配水管の布設道路面から最高位給水栓までの高さは9m以内であること（施工基準）</t>
        </r>
      </text>
    </comment>
    <comment ref="I132"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List>
</comments>
</file>

<file path=xl/comments5.xml><?xml version="1.0" encoding="utf-8"?>
<comments xmlns="http://schemas.openxmlformats.org/spreadsheetml/2006/main">
  <authors>
    <author>201109</author>
    <author>201810</author>
  </authors>
  <commentList>
    <comment ref="G10" authorId="0" shapeId="0">
      <text>
        <r>
          <rPr>
            <b/>
            <sz val="9"/>
            <color indexed="81"/>
            <rFont val="ＭＳ Ｐゴシック"/>
            <family val="3"/>
            <charset val="128"/>
          </rPr>
          <t xml:space="preserve">同時使用水栓は最も圧力の損失が大きい給水栓を中心に同時に使用する水栓を選択し入力する。
</t>
        </r>
        <r>
          <rPr>
            <sz val="9"/>
            <color indexed="81"/>
            <rFont val="ＭＳ Ｐゴシック"/>
            <family val="3"/>
            <charset val="128"/>
          </rPr>
          <t xml:space="preserve">
通常「台所流し」「洗濯流し」「洗面器」「大便器」より選択する</t>
        </r>
      </text>
    </comment>
    <comment ref="B32" authorId="0" shapeId="0">
      <text>
        <r>
          <rPr>
            <b/>
            <sz val="9"/>
            <color indexed="81"/>
            <rFont val="ＭＳ Ｐゴシック"/>
            <family val="3"/>
            <charset val="128"/>
          </rPr>
          <t>調査した最小動水圧を入力する。</t>
        </r>
        <r>
          <rPr>
            <sz val="9"/>
            <color indexed="81"/>
            <rFont val="ＭＳ Ｐゴシック"/>
            <family val="3"/>
            <charset val="128"/>
          </rPr>
          <t xml:space="preserve">
朝７時から８時の時間帯が最小動水圧となる可能性が高い
</t>
        </r>
      </text>
    </comment>
    <comment ref="B36"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B41"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G42" authorId="1" shapeId="0">
      <text>
        <r>
          <rPr>
            <b/>
            <sz val="9"/>
            <color indexed="81"/>
            <rFont val="MS P ゴシック"/>
            <family val="3"/>
            <charset val="128"/>
          </rPr>
          <t>50㎜以上の取出管径の場合は配水管が100㎜以上でなければならないので注意
。</t>
        </r>
      </text>
    </comment>
    <comment ref="E47"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47" authorId="0" shapeId="0">
      <text>
        <r>
          <rPr>
            <b/>
            <sz val="9"/>
            <color indexed="81"/>
            <rFont val="ＭＳ Ｐゴシック"/>
            <family val="3"/>
            <charset val="128"/>
          </rPr>
          <t>管延長を入力する。</t>
        </r>
      </text>
    </comment>
    <comment ref="B63" authorId="0" shapeId="0">
      <text>
        <r>
          <rPr>
            <b/>
            <sz val="9"/>
            <color indexed="81"/>
            <rFont val="ＭＳ Ｐゴシック"/>
            <family val="3"/>
            <charset val="128"/>
          </rPr>
          <t>給水器具を入力してその口径、区間の流量を上表と同様に入力する。</t>
        </r>
      </text>
    </comment>
    <comment ref="D84" authorId="1" shapeId="0">
      <text>
        <r>
          <rPr>
            <sz val="9"/>
            <color indexed="81"/>
            <rFont val="MS P ゴシック"/>
            <family val="3"/>
            <charset val="128"/>
          </rPr>
          <t>ヘッダーが無いときは空欄とする</t>
        </r>
      </text>
    </comment>
    <comment ref="I84"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85" authorId="0" shapeId="0">
      <text>
        <r>
          <rPr>
            <b/>
            <sz val="9"/>
            <color indexed="81"/>
            <rFont val="ＭＳ Ｐゴシック"/>
            <family val="3"/>
            <charset val="128"/>
          </rPr>
          <t xml:space="preserve">配水管から最高位の給水栓までの高さを入力
</t>
        </r>
        <r>
          <rPr>
            <sz val="9"/>
            <color indexed="81"/>
            <rFont val="ＭＳ Ｐゴシック"/>
            <family val="3"/>
            <charset val="128"/>
          </rPr>
          <t>※ちなみに配水管の布設道路面から最高位給水栓までの高さは9m以内であること（施工基準）</t>
        </r>
      </text>
    </comment>
    <comment ref="I86"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 ref="E91"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91" authorId="0" shapeId="0">
      <text>
        <r>
          <rPr>
            <b/>
            <sz val="9"/>
            <color indexed="81"/>
            <rFont val="ＭＳ Ｐゴシック"/>
            <family val="3"/>
            <charset val="128"/>
          </rPr>
          <t>管延長を入力する。</t>
        </r>
      </text>
    </comment>
    <comment ref="B107" authorId="0" shapeId="0">
      <text>
        <r>
          <rPr>
            <b/>
            <sz val="9"/>
            <color indexed="81"/>
            <rFont val="ＭＳ Ｐゴシック"/>
            <family val="3"/>
            <charset val="128"/>
          </rPr>
          <t>給水器具を入力してその口径、区間の流量を上表と同様に入力する。</t>
        </r>
      </text>
    </comment>
    <comment ref="I128"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129" authorId="0" shapeId="0">
      <text>
        <r>
          <rPr>
            <b/>
            <sz val="9"/>
            <color indexed="81"/>
            <rFont val="ＭＳ Ｐゴシック"/>
            <family val="3"/>
            <charset val="128"/>
          </rPr>
          <t xml:space="preserve">配水管から最高位の給水栓までの高さを入力
</t>
        </r>
        <r>
          <rPr>
            <sz val="9"/>
            <color indexed="81"/>
            <rFont val="ＭＳ Ｐゴシック"/>
            <family val="3"/>
            <charset val="128"/>
          </rPr>
          <t>※ちなみに配水管の布設道路面から最高位給水栓までの高さは9m以内であること（施工基準）</t>
        </r>
      </text>
    </comment>
    <comment ref="I130"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List>
</comments>
</file>

<file path=xl/comments6.xml><?xml version="1.0" encoding="utf-8"?>
<comments xmlns="http://schemas.openxmlformats.org/spreadsheetml/2006/main">
  <authors>
    <author>201109</author>
    <author>201810</author>
  </authors>
  <commentList>
    <comment ref="G10" authorId="0" shapeId="0">
      <text>
        <r>
          <rPr>
            <b/>
            <sz val="9"/>
            <color indexed="81"/>
            <rFont val="ＭＳ Ｐゴシック"/>
            <family val="3"/>
            <charset val="128"/>
          </rPr>
          <t xml:space="preserve">同時使用水栓は最も圧力の損失が大きい給水栓を中心に同時に使用する水栓を選択し入力する。
</t>
        </r>
        <r>
          <rPr>
            <sz val="9"/>
            <color indexed="81"/>
            <rFont val="ＭＳ Ｐゴシック"/>
            <family val="3"/>
            <charset val="128"/>
          </rPr>
          <t xml:space="preserve">
通常「台所流し」「洗濯流し」「洗面器」「大便器」より選択する</t>
        </r>
      </text>
    </comment>
    <comment ref="B34" authorId="0" shapeId="0">
      <text>
        <r>
          <rPr>
            <b/>
            <sz val="9"/>
            <color indexed="81"/>
            <rFont val="ＭＳ Ｐゴシック"/>
            <family val="3"/>
            <charset val="128"/>
          </rPr>
          <t>調査した最小動水圧を入力する。</t>
        </r>
        <r>
          <rPr>
            <sz val="9"/>
            <color indexed="81"/>
            <rFont val="ＭＳ Ｐゴシック"/>
            <family val="3"/>
            <charset val="128"/>
          </rPr>
          <t xml:space="preserve">
朝７時から８時の時間帯が最小動水圧となる可能性が高い
</t>
        </r>
      </text>
    </comment>
    <comment ref="B38"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B43" authorId="0" shapeId="0">
      <text>
        <r>
          <rPr>
            <b/>
            <sz val="9"/>
            <color indexed="81"/>
            <rFont val="ＭＳ Ｐゴシック"/>
            <family val="3"/>
            <charset val="128"/>
          </rPr>
          <t>仮定の流速を入力する。</t>
        </r>
        <r>
          <rPr>
            <sz val="9"/>
            <color indexed="81"/>
            <rFont val="ＭＳ Ｐゴシック"/>
            <family val="3"/>
            <charset val="128"/>
          </rPr>
          <t xml:space="preserve">
2ｍ/ｓ以下とする</t>
        </r>
      </text>
    </comment>
    <comment ref="G44" authorId="1" shapeId="0">
      <text>
        <r>
          <rPr>
            <b/>
            <sz val="9"/>
            <color indexed="81"/>
            <rFont val="MS P ゴシック"/>
            <family val="3"/>
            <charset val="128"/>
          </rPr>
          <t>50㎜以上の取出管径の場合は配水管が100㎜以上でなければならないので注意
。</t>
        </r>
      </text>
    </comment>
    <comment ref="E49"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49" authorId="0" shapeId="0">
      <text>
        <r>
          <rPr>
            <b/>
            <sz val="9"/>
            <color indexed="81"/>
            <rFont val="ＭＳ Ｐゴシック"/>
            <family val="3"/>
            <charset val="128"/>
          </rPr>
          <t>管延長を入力する。</t>
        </r>
      </text>
    </comment>
    <comment ref="B65" authorId="0" shapeId="0">
      <text>
        <r>
          <rPr>
            <b/>
            <sz val="9"/>
            <color indexed="81"/>
            <rFont val="ＭＳ Ｐゴシック"/>
            <family val="3"/>
            <charset val="128"/>
          </rPr>
          <t>給水器具を入力してその口径、区間の流量を上表と同様に入力する。</t>
        </r>
      </text>
    </comment>
    <comment ref="D86" authorId="1" shapeId="0">
      <text>
        <r>
          <rPr>
            <sz val="9"/>
            <color indexed="81"/>
            <rFont val="MS P ゴシック"/>
            <family val="3"/>
            <charset val="128"/>
          </rPr>
          <t>ヘッダーが無いときは空欄とする</t>
        </r>
      </text>
    </comment>
    <comment ref="I86"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87" authorId="0" shapeId="0">
      <text>
        <r>
          <rPr>
            <b/>
            <sz val="9"/>
            <color indexed="81"/>
            <rFont val="ＭＳ Ｐゴシック"/>
            <family val="3"/>
            <charset val="128"/>
          </rPr>
          <t xml:space="preserve">配水管から最高位の給水栓までの高さを入力
</t>
        </r>
        <r>
          <rPr>
            <sz val="9"/>
            <color indexed="81"/>
            <rFont val="ＭＳ Ｐゴシック"/>
            <family val="3"/>
            <charset val="128"/>
          </rPr>
          <t>※ちなみに配水管の布設道路面から最高位給水栓までの高さは9m以内であること（施工基準）</t>
        </r>
      </text>
    </comment>
    <comment ref="I88"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 ref="E93" authorId="0" shapeId="0">
      <text>
        <r>
          <rPr>
            <b/>
            <sz val="9"/>
            <color indexed="81"/>
            <rFont val="ＭＳ Ｐゴシック"/>
            <family val="3"/>
            <charset val="128"/>
          </rPr>
          <t>区間の流量は上表の同時使用量を入力する。メータ部分の流量は設計流量になっているか注意する。</t>
        </r>
        <r>
          <rPr>
            <sz val="9"/>
            <color indexed="81"/>
            <rFont val="ＭＳ Ｐゴシック"/>
            <family val="3"/>
            <charset val="128"/>
          </rPr>
          <t xml:space="preserve">
</t>
        </r>
      </text>
    </comment>
    <comment ref="H93" authorId="0" shapeId="0">
      <text>
        <r>
          <rPr>
            <b/>
            <sz val="9"/>
            <color indexed="81"/>
            <rFont val="ＭＳ Ｐゴシック"/>
            <family val="3"/>
            <charset val="128"/>
          </rPr>
          <t>管延長を入力する。</t>
        </r>
      </text>
    </comment>
    <comment ref="B109" authorId="0" shapeId="0">
      <text>
        <r>
          <rPr>
            <b/>
            <sz val="9"/>
            <color indexed="81"/>
            <rFont val="ＭＳ Ｐゴシック"/>
            <family val="3"/>
            <charset val="128"/>
          </rPr>
          <t>給水器具を入力してその口径、区間の流量を上表と同様に入力する。</t>
        </r>
      </text>
    </comment>
    <comment ref="I130" authorId="0" shapeId="0">
      <text>
        <r>
          <rPr>
            <b/>
            <sz val="9"/>
            <color indexed="81"/>
            <rFont val="ＭＳ Ｐゴシック"/>
            <family val="3"/>
            <charset val="128"/>
          </rPr>
          <t xml:space="preserve">ヘッダーの圧力損失は1ｍとし、口径を入力すると「1」が表示される。
</t>
        </r>
        <r>
          <rPr>
            <sz val="9"/>
            <color indexed="81"/>
            <rFont val="ＭＳ Ｐゴシック"/>
            <family val="3"/>
            <charset val="128"/>
          </rPr>
          <t xml:space="preserve">
</t>
        </r>
      </text>
    </comment>
    <comment ref="I131" authorId="0" shapeId="0">
      <text>
        <r>
          <rPr>
            <b/>
            <sz val="9"/>
            <color indexed="81"/>
            <rFont val="ＭＳ Ｐゴシック"/>
            <family val="3"/>
            <charset val="128"/>
          </rPr>
          <t xml:space="preserve">配水管から最高位の給水栓までの高さを入力
</t>
        </r>
        <r>
          <rPr>
            <sz val="9"/>
            <color indexed="81"/>
            <rFont val="ＭＳ Ｐゴシック"/>
            <family val="3"/>
            <charset val="128"/>
          </rPr>
          <t>※ちなみに配水管の布設道路面から最高位給水栓までの高さは9m以内であること（施工基準）</t>
        </r>
      </text>
    </comment>
    <comment ref="I132" authorId="0" shapeId="0">
      <text>
        <r>
          <rPr>
            <b/>
            <sz val="9"/>
            <color indexed="81"/>
            <rFont val="ＭＳ Ｐゴシック"/>
            <family val="3"/>
            <charset val="128"/>
          </rPr>
          <t>必要圧力を直接入力する。
洗浄便座は5～7ｍ
シャワーは7～15ｍ
混合栓は7ｍ
としメーカーの性能仕様によること。</t>
        </r>
      </text>
    </comment>
  </commentList>
</comments>
</file>

<file path=xl/sharedStrings.xml><?xml version="1.0" encoding="utf-8"?>
<sst xmlns="http://schemas.openxmlformats.org/spreadsheetml/2006/main" count="1290" uniqueCount="310">
  <si>
    <t>用途</t>
    <rPh sb="0" eb="2">
      <t>ヨウト</t>
    </rPh>
    <phoneticPr fontId="1"/>
  </si>
  <si>
    <t>使用水量</t>
    <rPh sb="0" eb="2">
      <t>シヨウ</t>
    </rPh>
    <rPh sb="2" eb="4">
      <t>スイリョウ</t>
    </rPh>
    <phoneticPr fontId="1"/>
  </si>
  <si>
    <t>台所流し</t>
    <rPh sb="0" eb="2">
      <t>ダイドコロ</t>
    </rPh>
    <rPh sb="2" eb="3">
      <t>ナガ</t>
    </rPh>
    <phoneticPr fontId="1"/>
  </si>
  <si>
    <t>洗濯流し</t>
    <rPh sb="0" eb="2">
      <t>センタク</t>
    </rPh>
    <rPh sb="2" eb="3">
      <t>ナガ</t>
    </rPh>
    <phoneticPr fontId="1"/>
  </si>
  <si>
    <t>浴槽（和式）</t>
    <rPh sb="0" eb="2">
      <t>ヨクソウ</t>
    </rPh>
    <rPh sb="3" eb="5">
      <t>ワシキ</t>
    </rPh>
    <phoneticPr fontId="1"/>
  </si>
  <si>
    <t>浴槽（洋式）</t>
    <rPh sb="0" eb="2">
      <t>ヨクソウ</t>
    </rPh>
    <rPh sb="3" eb="4">
      <t>ヨウ</t>
    </rPh>
    <phoneticPr fontId="1"/>
  </si>
  <si>
    <t>シャワー</t>
    <phoneticPr fontId="1"/>
  </si>
  <si>
    <t>小便器（洗浄水槽）</t>
    <rPh sb="0" eb="3">
      <t>ショウベンキ</t>
    </rPh>
    <rPh sb="4" eb="6">
      <t>センジョウ</t>
    </rPh>
    <rPh sb="6" eb="8">
      <t>スイソウ</t>
    </rPh>
    <phoneticPr fontId="1"/>
  </si>
  <si>
    <t>小便器（洗浄弁）</t>
    <rPh sb="0" eb="3">
      <t>ショウベンキ</t>
    </rPh>
    <rPh sb="4" eb="6">
      <t>センジョウ</t>
    </rPh>
    <rPh sb="6" eb="7">
      <t>ベン</t>
    </rPh>
    <phoneticPr fontId="1"/>
  </si>
  <si>
    <t>大便器（洗浄水槽）</t>
    <rPh sb="0" eb="1">
      <t>ダイ</t>
    </rPh>
    <rPh sb="1" eb="3">
      <t>ベンキ</t>
    </rPh>
    <rPh sb="4" eb="6">
      <t>センジョウ</t>
    </rPh>
    <rPh sb="6" eb="8">
      <t>スイソウ</t>
    </rPh>
    <phoneticPr fontId="1"/>
  </si>
  <si>
    <t>大便器（洗浄弁）</t>
    <rPh sb="0" eb="1">
      <t>ダイ</t>
    </rPh>
    <rPh sb="1" eb="3">
      <t>ベンキ</t>
    </rPh>
    <rPh sb="4" eb="6">
      <t>センジョウ</t>
    </rPh>
    <rPh sb="6" eb="7">
      <t>ベン</t>
    </rPh>
    <phoneticPr fontId="1"/>
  </si>
  <si>
    <t>手洗器</t>
    <rPh sb="0" eb="2">
      <t>テアラ</t>
    </rPh>
    <rPh sb="2" eb="3">
      <t>キ</t>
    </rPh>
    <phoneticPr fontId="1"/>
  </si>
  <si>
    <t>消火栓（小型）</t>
    <rPh sb="0" eb="3">
      <t>ショウカセン</t>
    </rPh>
    <rPh sb="4" eb="6">
      <t>コガタ</t>
    </rPh>
    <phoneticPr fontId="1"/>
  </si>
  <si>
    <t>散水</t>
    <rPh sb="0" eb="2">
      <t>サンスイ</t>
    </rPh>
    <phoneticPr fontId="1"/>
  </si>
  <si>
    <t>洗車</t>
    <rPh sb="0" eb="2">
      <t>センシャ</t>
    </rPh>
    <phoneticPr fontId="1"/>
  </si>
  <si>
    <t>水栓数</t>
    <rPh sb="0" eb="1">
      <t>スイ</t>
    </rPh>
    <rPh sb="1" eb="2">
      <t>セン</t>
    </rPh>
    <rPh sb="2" eb="3">
      <t>スウ</t>
    </rPh>
    <phoneticPr fontId="1"/>
  </si>
  <si>
    <t>合計</t>
    <rPh sb="0" eb="2">
      <t>ゴウケイ</t>
    </rPh>
    <phoneticPr fontId="1"/>
  </si>
  <si>
    <t>使用水量小計</t>
    <rPh sb="0" eb="2">
      <t>シヨウ</t>
    </rPh>
    <rPh sb="2" eb="4">
      <t>スイリョウ</t>
    </rPh>
    <rPh sb="4" eb="6">
      <t>ショウケイ</t>
    </rPh>
    <phoneticPr fontId="1"/>
  </si>
  <si>
    <t>洗面器</t>
    <rPh sb="0" eb="2">
      <t>センメン</t>
    </rPh>
    <rPh sb="2" eb="3">
      <t>キ</t>
    </rPh>
    <phoneticPr fontId="1"/>
  </si>
  <si>
    <t>総給水用具数（個）</t>
    <rPh sb="0" eb="1">
      <t>ソウ</t>
    </rPh>
    <rPh sb="1" eb="3">
      <t>キュウスイ</t>
    </rPh>
    <rPh sb="3" eb="5">
      <t>ヨウグ</t>
    </rPh>
    <rPh sb="5" eb="6">
      <t>スウ</t>
    </rPh>
    <rPh sb="7" eb="8">
      <t>コ</t>
    </rPh>
    <phoneticPr fontId="1"/>
  </si>
  <si>
    <t>同時使用率を考慮した給水用具数（個）</t>
    <rPh sb="0" eb="2">
      <t>ドウジ</t>
    </rPh>
    <rPh sb="2" eb="4">
      <t>シヨウ</t>
    </rPh>
    <rPh sb="4" eb="5">
      <t>リツ</t>
    </rPh>
    <rPh sb="6" eb="8">
      <t>コウリョ</t>
    </rPh>
    <rPh sb="10" eb="12">
      <t>キュウスイ</t>
    </rPh>
    <rPh sb="12" eb="14">
      <t>ヨウグ</t>
    </rPh>
    <rPh sb="14" eb="15">
      <t>スウ</t>
    </rPh>
    <rPh sb="16" eb="17">
      <t>コ</t>
    </rPh>
    <phoneticPr fontId="1"/>
  </si>
  <si>
    <t>５～１０</t>
    <phoneticPr fontId="1"/>
  </si>
  <si>
    <t>２～４</t>
    <phoneticPr fontId="1"/>
  </si>
  <si>
    <t>１１～１５</t>
    <phoneticPr fontId="1"/>
  </si>
  <si>
    <t>１６～２０</t>
    <phoneticPr fontId="1"/>
  </si>
  <si>
    <t>２１～３０</t>
    <phoneticPr fontId="1"/>
  </si>
  <si>
    <t>表3</t>
    <rPh sb="0" eb="1">
      <t>ヒョウ</t>
    </rPh>
    <phoneticPr fontId="1"/>
  </si>
  <si>
    <t>同時使用の水栓数</t>
    <rPh sb="0" eb="2">
      <t>ドウジ</t>
    </rPh>
    <phoneticPr fontId="1"/>
  </si>
  <si>
    <t>ＭＰａ</t>
    <phoneticPr fontId="1"/>
  </si>
  <si>
    <t>Ｑ：設計水量</t>
    <rPh sb="2" eb="4">
      <t>セッケイ</t>
    </rPh>
    <rPh sb="4" eb="6">
      <t>スイリョウ</t>
    </rPh>
    <phoneticPr fontId="1"/>
  </si>
  <si>
    <t>Ｖ：流速</t>
    <rPh sb="2" eb="4">
      <t>リュウソク</t>
    </rPh>
    <phoneticPr fontId="1"/>
  </si>
  <si>
    <t>mm</t>
    <phoneticPr fontId="1"/>
  </si>
  <si>
    <t>管径</t>
    <rPh sb="0" eb="1">
      <t>カン</t>
    </rPh>
    <rPh sb="1" eb="2">
      <t>ケイ</t>
    </rPh>
    <phoneticPr fontId="1"/>
  </si>
  <si>
    <t>mmと仮設定</t>
    <rPh sb="3" eb="4">
      <t>カリ</t>
    </rPh>
    <rPh sb="4" eb="6">
      <t>セッテイ</t>
    </rPh>
    <phoneticPr fontId="1"/>
  </si>
  <si>
    <t>管径50ｍｍ以下はウエストン公式、75ｍｍ以上はヘーゼン・ウィリアム公式で計算します。</t>
    <rPh sb="0" eb="1">
      <t>カン</t>
    </rPh>
    <rPh sb="1" eb="2">
      <t>ケイ</t>
    </rPh>
    <rPh sb="6" eb="8">
      <t>イカ</t>
    </rPh>
    <rPh sb="14" eb="16">
      <t>コウシキ</t>
    </rPh>
    <rPh sb="21" eb="23">
      <t>イジョウ</t>
    </rPh>
    <rPh sb="34" eb="36">
      <t>コウシキ</t>
    </rPh>
    <rPh sb="37" eb="39">
      <t>ケイサン</t>
    </rPh>
    <phoneticPr fontId="1"/>
  </si>
  <si>
    <t>ウエストン公式</t>
    <rPh sb="5" eb="7">
      <t>コウシキ</t>
    </rPh>
    <phoneticPr fontId="1"/>
  </si>
  <si>
    <t>ｈ：管の摩擦損失水頭（ｍ）</t>
    <rPh sb="2" eb="3">
      <t>カン</t>
    </rPh>
    <rPh sb="4" eb="6">
      <t>マサツ</t>
    </rPh>
    <rPh sb="6" eb="8">
      <t>ソンシツ</t>
    </rPh>
    <rPh sb="8" eb="10">
      <t>スイトウ</t>
    </rPh>
    <phoneticPr fontId="1"/>
  </si>
  <si>
    <t>Ｌ：管延長</t>
    <rPh sb="2" eb="3">
      <t>カン</t>
    </rPh>
    <rPh sb="3" eb="5">
      <t>エンチョウ</t>
    </rPh>
    <phoneticPr fontId="1"/>
  </si>
  <si>
    <t>Ｄ：管径（ｍ）</t>
    <rPh sb="2" eb="3">
      <t>カン</t>
    </rPh>
    <rPh sb="3" eb="4">
      <t>ケイ</t>
    </rPh>
    <phoneticPr fontId="1"/>
  </si>
  <si>
    <t>Ｖ：流速（ｍ/秒）</t>
    <rPh sb="2" eb="4">
      <t>リュウソク</t>
    </rPh>
    <rPh sb="7" eb="8">
      <t>ビョウ</t>
    </rPh>
    <phoneticPr fontId="1"/>
  </si>
  <si>
    <t>ｇ：重力加速度（9.8ｍ／秒＾2）</t>
    <rPh sb="2" eb="4">
      <t>ジュウリョク</t>
    </rPh>
    <rPh sb="4" eb="7">
      <t>カソクド</t>
    </rPh>
    <rPh sb="13" eb="14">
      <t>ビョウ</t>
    </rPh>
    <phoneticPr fontId="1"/>
  </si>
  <si>
    <t>動水勾配は管延長と損失水頭の比で千分率で表示します。</t>
    <rPh sb="0" eb="1">
      <t>ドウ</t>
    </rPh>
    <rPh sb="1" eb="2">
      <t>ミズ</t>
    </rPh>
    <rPh sb="2" eb="4">
      <t>コウバイ</t>
    </rPh>
    <rPh sb="5" eb="6">
      <t>カン</t>
    </rPh>
    <rPh sb="6" eb="8">
      <t>エンチョウ</t>
    </rPh>
    <rPh sb="9" eb="11">
      <t>ソンシツ</t>
    </rPh>
    <rPh sb="11" eb="13">
      <t>スイトウ</t>
    </rPh>
    <rPh sb="14" eb="15">
      <t>ヒ</t>
    </rPh>
    <rPh sb="16" eb="19">
      <t>センブンリツ</t>
    </rPh>
    <rPh sb="20" eb="22">
      <t>ヒョウジ</t>
    </rPh>
    <phoneticPr fontId="1"/>
  </si>
  <si>
    <t>Ｉ＝ｈ／Ｌ×1000</t>
    <phoneticPr fontId="1"/>
  </si>
  <si>
    <t>動水勾配</t>
    <rPh sb="0" eb="1">
      <t>ドウ</t>
    </rPh>
    <rPh sb="1" eb="2">
      <t>スイ</t>
    </rPh>
    <rPh sb="2" eb="4">
      <t>コウバイ</t>
    </rPh>
    <phoneticPr fontId="1"/>
  </si>
  <si>
    <t>損失水頭</t>
    <rPh sb="0" eb="2">
      <t>ソンシツ</t>
    </rPh>
    <rPh sb="2" eb="4">
      <t>スイトウ</t>
    </rPh>
    <phoneticPr fontId="1"/>
  </si>
  <si>
    <t>区間の流量</t>
    <rPh sb="0" eb="2">
      <t>クカン</t>
    </rPh>
    <rPh sb="3" eb="5">
      <t>リュウリョウ</t>
    </rPh>
    <phoneticPr fontId="1"/>
  </si>
  <si>
    <t>A～B</t>
    <phoneticPr fontId="1"/>
  </si>
  <si>
    <t>B～C</t>
    <phoneticPr fontId="1"/>
  </si>
  <si>
    <t>C～D</t>
    <phoneticPr fontId="1"/>
  </si>
  <si>
    <t>D～E</t>
    <phoneticPr fontId="1"/>
  </si>
  <si>
    <t>E～F</t>
    <phoneticPr fontId="1"/>
  </si>
  <si>
    <t>F～G</t>
    <phoneticPr fontId="1"/>
  </si>
  <si>
    <t>G～H</t>
    <phoneticPr fontId="1"/>
  </si>
  <si>
    <t>H～I</t>
    <phoneticPr fontId="1"/>
  </si>
  <si>
    <t>Ｉ～Ｊ</t>
    <phoneticPr fontId="1"/>
  </si>
  <si>
    <t>記号</t>
    <rPh sb="0" eb="2">
      <t>キゴウ</t>
    </rPh>
    <phoneticPr fontId="1"/>
  </si>
  <si>
    <t>サドル分水栓</t>
    <rPh sb="3" eb="5">
      <t>ブンスイ</t>
    </rPh>
    <rPh sb="5" eb="6">
      <t>セン</t>
    </rPh>
    <phoneticPr fontId="1"/>
  </si>
  <si>
    <t>管延長の損失水頭　合計</t>
    <rPh sb="0" eb="1">
      <t>カン</t>
    </rPh>
    <rPh sb="1" eb="3">
      <t>エンチョウ</t>
    </rPh>
    <rPh sb="2" eb="3">
      <t>チョウ</t>
    </rPh>
    <rPh sb="4" eb="6">
      <t>ソンシツ</t>
    </rPh>
    <rPh sb="6" eb="8">
      <t>スイトウ</t>
    </rPh>
    <rPh sb="9" eb="11">
      <t>ゴウケイ</t>
    </rPh>
    <phoneticPr fontId="1"/>
  </si>
  <si>
    <t>Ｂ</t>
    <phoneticPr fontId="1"/>
  </si>
  <si>
    <t>Ｃ</t>
    <phoneticPr fontId="1"/>
  </si>
  <si>
    <t>Ｄ</t>
    <phoneticPr fontId="1"/>
  </si>
  <si>
    <t>Ｅ</t>
    <phoneticPr fontId="1"/>
  </si>
  <si>
    <t>Ｆ</t>
    <phoneticPr fontId="1"/>
  </si>
  <si>
    <t>Ｇ</t>
    <phoneticPr fontId="1"/>
  </si>
  <si>
    <t>Ｈ</t>
    <phoneticPr fontId="1"/>
  </si>
  <si>
    <t>Ｉ</t>
    <phoneticPr fontId="1"/>
  </si>
  <si>
    <t>直管換算延長</t>
    <rPh sb="0" eb="1">
      <t>チョク</t>
    </rPh>
    <rPh sb="1" eb="2">
      <t>カン</t>
    </rPh>
    <rPh sb="2" eb="4">
      <t>カンサン</t>
    </rPh>
    <rPh sb="4" eb="6">
      <t>エンチョウ</t>
    </rPh>
    <phoneticPr fontId="1"/>
  </si>
  <si>
    <t>管延長損失水頭の合計</t>
    <rPh sb="0" eb="1">
      <t>カン</t>
    </rPh>
    <rPh sb="1" eb="3">
      <t>エンチョウ</t>
    </rPh>
    <rPh sb="3" eb="5">
      <t>ソンシツ</t>
    </rPh>
    <rPh sb="5" eb="7">
      <t>スイトウ</t>
    </rPh>
    <rPh sb="8" eb="10">
      <t>ゴウケイ</t>
    </rPh>
    <phoneticPr fontId="1"/>
  </si>
  <si>
    <t>給水器具等損失水頭の合計</t>
    <rPh sb="0" eb="2">
      <t>キュウスイ</t>
    </rPh>
    <rPh sb="2" eb="4">
      <t>キグ</t>
    </rPh>
    <rPh sb="4" eb="5">
      <t>トウ</t>
    </rPh>
    <rPh sb="5" eb="7">
      <t>ソンシツ</t>
    </rPh>
    <rPh sb="7" eb="9">
      <t>スイトウ</t>
    </rPh>
    <rPh sb="10" eb="12">
      <t>ゴウケイ</t>
    </rPh>
    <phoneticPr fontId="1"/>
  </si>
  <si>
    <t>全所要水頭</t>
    <rPh sb="0" eb="1">
      <t>ゼン</t>
    </rPh>
    <rPh sb="1" eb="3">
      <t>ショヨウ</t>
    </rPh>
    <rPh sb="3" eb="5">
      <t>スイトウ</t>
    </rPh>
    <phoneticPr fontId="1"/>
  </si>
  <si>
    <t>配水管の最小動水圧と比較して</t>
    <rPh sb="0" eb="2">
      <t>ハイスイ</t>
    </rPh>
    <rPh sb="2" eb="3">
      <t>カン</t>
    </rPh>
    <rPh sb="4" eb="6">
      <t>サイショウ</t>
    </rPh>
    <rPh sb="6" eb="7">
      <t>ドウ</t>
    </rPh>
    <rPh sb="7" eb="8">
      <t>スイ</t>
    </rPh>
    <rPh sb="8" eb="9">
      <t>アツ</t>
    </rPh>
    <rPh sb="10" eb="12">
      <t>ヒカク</t>
    </rPh>
    <phoneticPr fontId="1"/>
  </si>
  <si>
    <t>なので</t>
    <phoneticPr fontId="1"/>
  </si>
  <si>
    <t>m</t>
    <phoneticPr fontId="1"/>
  </si>
  <si>
    <t>SI単位に変換して</t>
    <rPh sb="2" eb="4">
      <t>タンイ</t>
    </rPh>
    <rPh sb="5" eb="7">
      <t>ヘンカン</t>
    </rPh>
    <phoneticPr fontId="1"/>
  </si>
  <si>
    <t>MPa</t>
    <phoneticPr fontId="1"/>
  </si>
  <si>
    <t>給水器具等</t>
    <rPh sb="0" eb="2">
      <t>キュウスイ</t>
    </rPh>
    <rPh sb="2" eb="4">
      <t>キグ</t>
    </rPh>
    <rPh sb="4" eb="5">
      <t>トウ</t>
    </rPh>
    <phoneticPr fontId="1"/>
  </si>
  <si>
    <t>総立上り高（配水管から最高位給水栓までの高さ）</t>
    <rPh sb="0" eb="1">
      <t>ソウ</t>
    </rPh>
    <rPh sb="1" eb="3">
      <t>タチアガ</t>
    </rPh>
    <rPh sb="4" eb="5">
      <t>ダカ</t>
    </rPh>
    <rPh sb="6" eb="8">
      <t>ハイスイ</t>
    </rPh>
    <rPh sb="8" eb="9">
      <t>カン</t>
    </rPh>
    <rPh sb="11" eb="13">
      <t>サイコウ</t>
    </rPh>
    <rPh sb="13" eb="14">
      <t>クライ</t>
    </rPh>
    <rPh sb="14" eb="16">
      <t>キュウスイ</t>
    </rPh>
    <rPh sb="16" eb="17">
      <t>セン</t>
    </rPh>
    <rPh sb="20" eb="21">
      <t>タカ</t>
    </rPh>
    <phoneticPr fontId="1"/>
  </si>
  <si>
    <t>区間の流速</t>
    <rPh sb="0" eb="2">
      <t>クカン</t>
    </rPh>
    <rPh sb="3" eb="5">
      <t>リュウソク</t>
    </rPh>
    <phoneticPr fontId="1"/>
  </si>
  <si>
    <t>最大流速は</t>
    <rPh sb="0" eb="2">
      <t>サイダイ</t>
    </rPh>
    <rPh sb="2" eb="4">
      <t>リュウソク</t>
    </rPh>
    <phoneticPr fontId="1"/>
  </si>
  <si>
    <t>（箇所）</t>
    <rPh sb="1" eb="3">
      <t>カショ</t>
    </rPh>
    <phoneticPr fontId="1"/>
  </si>
  <si>
    <t>（L/min)</t>
    <phoneticPr fontId="1"/>
  </si>
  <si>
    <t>‰（I)</t>
    <phoneticPr fontId="1"/>
  </si>
  <si>
    <t>m(V)</t>
    <phoneticPr fontId="1"/>
  </si>
  <si>
    <t>mm(D)</t>
    <phoneticPr fontId="1"/>
  </si>
  <si>
    <t>m(h)</t>
    <phoneticPr fontId="1"/>
  </si>
  <si>
    <t>m(L)</t>
    <phoneticPr fontId="1"/>
  </si>
  <si>
    <t>給水用ヘッダー</t>
    <rPh sb="0" eb="3">
      <t>キュウスイヨウ</t>
    </rPh>
    <phoneticPr fontId="1"/>
  </si>
  <si>
    <t>直管換算表（参考）</t>
    <rPh sb="0" eb="1">
      <t>チョク</t>
    </rPh>
    <rPh sb="1" eb="2">
      <t>カン</t>
    </rPh>
    <rPh sb="2" eb="4">
      <t>カンサン</t>
    </rPh>
    <rPh sb="4" eb="5">
      <t>ヒョウ</t>
    </rPh>
    <rPh sb="6" eb="8">
      <t>サンコウ</t>
    </rPh>
    <phoneticPr fontId="1"/>
  </si>
  <si>
    <t>量水器（直線流羽車）</t>
    <rPh sb="0" eb="3">
      <t>リョウスイキ</t>
    </rPh>
    <rPh sb="4" eb="6">
      <t>チョクセン</t>
    </rPh>
    <rPh sb="6" eb="7">
      <t>リュウ</t>
    </rPh>
    <rPh sb="7" eb="8">
      <t>ハネ</t>
    </rPh>
    <rPh sb="8" eb="9">
      <t>クルマ</t>
    </rPh>
    <phoneticPr fontId="1"/>
  </si>
  <si>
    <t>－</t>
    <phoneticPr fontId="1"/>
  </si>
  <si>
    <t>埋設メータユニット</t>
    <rPh sb="0" eb="2">
      <t>マイセツ</t>
    </rPh>
    <phoneticPr fontId="1"/>
  </si>
  <si>
    <t>メータバイパスユニット（逆止弁付）</t>
    <rPh sb="12" eb="13">
      <t>ギャク</t>
    </rPh>
    <rPh sb="13" eb="14">
      <t>ト</t>
    </rPh>
    <rPh sb="14" eb="15">
      <t>ベン</t>
    </rPh>
    <rPh sb="15" eb="16">
      <t>ツキ</t>
    </rPh>
    <phoneticPr fontId="1"/>
  </si>
  <si>
    <t>メータバイパスユニット（逆止弁無）</t>
    <rPh sb="12" eb="13">
      <t>ギャク</t>
    </rPh>
    <rPh sb="13" eb="14">
      <t>ト</t>
    </rPh>
    <rPh sb="14" eb="15">
      <t>ベン</t>
    </rPh>
    <rPh sb="15" eb="16">
      <t>ナシ</t>
    </rPh>
    <phoneticPr fontId="1"/>
  </si>
  <si>
    <t>複式メータユニット</t>
    <rPh sb="0" eb="2">
      <t>フクシキ</t>
    </rPh>
    <phoneticPr fontId="1"/>
  </si>
  <si>
    <t>エルボ（塩ビ管）</t>
    <rPh sb="4" eb="5">
      <t>エン</t>
    </rPh>
    <rPh sb="6" eb="7">
      <t>カン</t>
    </rPh>
    <phoneticPr fontId="1"/>
  </si>
  <si>
    <t>チーズ（分岐　塩ビ管）</t>
    <rPh sb="4" eb="6">
      <t>ブンキ</t>
    </rPh>
    <rPh sb="7" eb="8">
      <t>エン</t>
    </rPh>
    <rPh sb="9" eb="10">
      <t>カン</t>
    </rPh>
    <phoneticPr fontId="1"/>
  </si>
  <si>
    <t>異径ソケット（塩ビ管）</t>
    <rPh sb="0" eb="1">
      <t>イ</t>
    </rPh>
    <rPh sb="1" eb="2">
      <t>ケイ</t>
    </rPh>
    <rPh sb="7" eb="8">
      <t>エン</t>
    </rPh>
    <rPh sb="9" eb="10">
      <t>カン</t>
    </rPh>
    <phoneticPr fontId="1"/>
  </si>
  <si>
    <t>エルボ（ＥＦ接合）</t>
    <rPh sb="6" eb="8">
      <t>セツゴウ</t>
    </rPh>
    <phoneticPr fontId="1"/>
  </si>
  <si>
    <t>チ－ズ（分岐　ＥＦ接合）</t>
    <rPh sb="4" eb="6">
      <t>ブンキ</t>
    </rPh>
    <rPh sb="9" eb="11">
      <t>セツゴウ</t>
    </rPh>
    <phoneticPr fontId="1"/>
  </si>
  <si>
    <t>異径ソケット（ＥＦ接合）</t>
    <rPh sb="0" eb="1">
      <t>イ</t>
    </rPh>
    <rPh sb="1" eb="2">
      <t>ケイ</t>
    </rPh>
    <rPh sb="9" eb="11">
      <t>セツゴウ</t>
    </rPh>
    <phoneticPr fontId="1"/>
  </si>
  <si>
    <t>給水栓</t>
    <rPh sb="0" eb="2">
      <t>キュウスイ</t>
    </rPh>
    <rPh sb="2" eb="3">
      <t>セン</t>
    </rPh>
    <phoneticPr fontId="1"/>
  </si>
  <si>
    <t>アングル止水栓</t>
    <rPh sb="4" eb="5">
      <t>ト</t>
    </rPh>
    <rPh sb="5" eb="6">
      <t>ミズ</t>
    </rPh>
    <rPh sb="6" eb="7">
      <t>セン</t>
    </rPh>
    <phoneticPr fontId="1"/>
  </si>
  <si>
    <t>仕切弁（コア付）</t>
    <rPh sb="0" eb="2">
      <t>シキ</t>
    </rPh>
    <rPh sb="2" eb="3">
      <t>ベン</t>
    </rPh>
    <rPh sb="6" eb="7">
      <t>ツキ</t>
    </rPh>
    <phoneticPr fontId="1"/>
  </si>
  <si>
    <t>仕切弁</t>
    <rPh sb="0" eb="2">
      <t>シキ</t>
    </rPh>
    <rPh sb="2" eb="3">
      <t>ベン</t>
    </rPh>
    <phoneticPr fontId="1"/>
  </si>
  <si>
    <t>玉形弁</t>
    <rPh sb="0" eb="1">
      <t>タマ</t>
    </rPh>
    <rPh sb="1" eb="2">
      <t>カタ</t>
    </rPh>
    <rPh sb="2" eb="3">
      <t>ベン</t>
    </rPh>
    <phoneticPr fontId="1"/>
  </si>
  <si>
    <t>スイング式逆止弁（コア付）</t>
    <rPh sb="4" eb="5">
      <t>シキ</t>
    </rPh>
    <rPh sb="5" eb="6">
      <t>ギャク</t>
    </rPh>
    <rPh sb="6" eb="7">
      <t>ト</t>
    </rPh>
    <rPh sb="7" eb="8">
      <t>ベン</t>
    </rPh>
    <rPh sb="11" eb="12">
      <t>ツキ</t>
    </rPh>
    <phoneticPr fontId="1"/>
  </si>
  <si>
    <t>スイング式逆止弁</t>
    <rPh sb="4" eb="5">
      <t>シキ</t>
    </rPh>
    <rPh sb="5" eb="6">
      <t>ギャク</t>
    </rPh>
    <rPh sb="6" eb="7">
      <t>ト</t>
    </rPh>
    <rPh sb="7" eb="8">
      <t>ベン</t>
    </rPh>
    <phoneticPr fontId="1"/>
  </si>
  <si>
    <t>単式逆止弁</t>
    <rPh sb="0" eb="2">
      <t>タンシキ</t>
    </rPh>
    <rPh sb="2" eb="3">
      <t>ギャク</t>
    </rPh>
    <rPh sb="3" eb="4">
      <t>ト</t>
    </rPh>
    <rPh sb="4" eb="5">
      <t>ベン</t>
    </rPh>
    <phoneticPr fontId="1"/>
  </si>
  <si>
    <t>ボール止水栓</t>
    <rPh sb="3" eb="5">
      <t>シスイ</t>
    </rPh>
    <rPh sb="5" eb="6">
      <t>セン</t>
    </rPh>
    <phoneticPr fontId="1"/>
  </si>
  <si>
    <t>－</t>
    <phoneticPr fontId="1"/>
  </si>
  <si>
    <t>直結止水栓</t>
    <rPh sb="0" eb="1">
      <t>チョク</t>
    </rPh>
    <rPh sb="1" eb="2">
      <t>ケツ</t>
    </rPh>
    <rPh sb="2" eb="4">
      <t>シスイ</t>
    </rPh>
    <rPh sb="4" eb="5">
      <t>セン</t>
    </rPh>
    <phoneticPr fontId="1"/>
  </si>
  <si>
    <t>圧力損失</t>
    <rPh sb="0" eb="2">
      <t>アツリョク</t>
    </rPh>
    <rPh sb="2" eb="4">
      <t>ソンシツ</t>
    </rPh>
    <phoneticPr fontId="1"/>
  </si>
  <si>
    <t>項目</t>
    <rPh sb="0" eb="2">
      <t>コウモク</t>
    </rPh>
    <phoneticPr fontId="1"/>
  </si>
  <si>
    <t>圧力損失（ｍ）</t>
    <rPh sb="0" eb="2">
      <t>アツリョク</t>
    </rPh>
    <rPh sb="2" eb="4">
      <t>ソンシツ</t>
    </rPh>
    <phoneticPr fontId="1"/>
  </si>
  <si>
    <t>備考</t>
    <rPh sb="0" eb="2">
      <t>ビコウ</t>
    </rPh>
    <phoneticPr fontId="1"/>
  </si>
  <si>
    <t>さや管ヘッダー</t>
    <rPh sb="2" eb="3">
      <t>カン</t>
    </rPh>
    <phoneticPr fontId="1"/>
  </si>
  <si>
    <t>架橋ポリエチレン管設計施工マニュアル</t>
    <rPh sb="0" eb="2">
      <t>カキョウ</t>
    </rPh>
    <rPh sb="8" eb="9">
      <t>カン</t>
    </rPh>
    <rPh sb="9" eb="11">
      <t>セッケイ</t>
    </rPh>
    <rPh sb="11" eb="13">
      <t>セコウ</t>
    </rPh>
    <phoneticPr fontId="1"/>
  </si>
  <si>
    <t>給水器具の必要圧力</t>
    <rPh sb="0" eb="2">
      <t>キュウスイ</t>
    </rPh>
    <rPh sb="2" eb="4">
      <t>キグ</t>
    </rPh>
    <rPh sb="5" eb="7">
      <t>ヒツヨウ</t>
    </rPh>
    <rPh sb="7" eb="9">
      <t>アツリョク</t>
    </rPh>
    <phoneticPr fontId="1"/>
  </si>
  <si>
    <t>圧力（ｍ）</t>
    <rPh sb="0" eb="2">
      <t>アツリョク</t>
    </rPh>
    <phoneticPr fontId="1"/>
  </si>
  <si>
    <t>シャワー</t>
    <phoneticPr fontId="1"/>
  </si>
  <si>
    <t>7～15</t>
    <phoneticPr fontId="1"/>
  </si>
  <si>
    <t>メーカ仕様</t>
    <rPh sb="3" eb="5">
      <t>シヨウ</t>
    </rPh>
    <phoneticPr fontId="1"/>
  </si>
  <si>
    <t>洗浄便座</t>
    <rPh sb="0" eb="2">
      <t>センジョウ</t>
    </rPh>
    <rPh sb="2" eb="4">
      <t>ベンザ</t>
    </rPh>
    <phoneticPr fontId="1"/>
  </si>
  <si>
    <t>5～7</t>
    <phoneticPr fontId="1"/>
  </si>
  <si>
    <t>混合栓</t>
    <rPh sb="0" eb="2">
      <t>コンゴウ</t>
    </rPh>
    <rPh sb="2" eb="3">
      <t>セン</t>
    </rPh>
    <phoneticPr fontId="1"/>
  </si>
  <si>
    <t>給水器具等及び立上がりの損失水頭及び所要水頭　合計</t>
    <rPh sb="0" eb="2">
      <t>キュウスイ</t>
    </rPh>
    <rPh sb="2" eb="4">
      <t>キグ</t>
    </rPh>
    <rPh sb="4" eb="5">
      <t>トウ</t>
    </rPh>
    <rPh sb="5" eb="6">
      <t>オヨ</t>
    </rPh>
    <rPh sb="7" eb="9">
      <t>タチア</t>
    </rPh>
    <rPh sb="12" eb="14">
      <t>ソンシツ</t>
    </rPh>
    <rPh sb="14" eb="16">
      <t>スイトウ</t>
    </rPh>
    <rPh sb="16" eb="17">
      <t>オヨ</t>
    </rPh>
    <rPh sb="18" eb="20">
      <t>ショヨウ</t>
    </rPh>
    <rPh sb="20" eb="21">
      <t>ミズ</t>
    </rPh>
    <rPh sb="21" eb="22">
      <t>アタマ</t>
    </rPh>
    <rPh sb="23" eb="25">
      <t>ゴウケイ</t>
    </rPh>
    <phoneticPr fontId="1"/>
  </si>
  <si>
    <t>口径・管径</t>
    <rPh sb="0" eb="2">
      <t>コウケイ</t>
    </rPh>
    <rPh sb="3" eb="4">
      <t>カン</t>
    </rPh>
    <rPh sb="4" eb="5">
      <t>ケイ</t>
    </rPh>
    <phoneticPr fontId="1"/>
  </si>
  <si>
    <t>給水装置設置場所</t>
    <rPh sb="0" eb="2">
      <t>キュウスイ</t>
    </rPh>
    <rPh sb="2" eb="4">
      <t>ソウチ</t>
    </rPh>
    <rPh sb="4" eb="6">
      <t>セッチ</t>
    </rPh>
    <rPh sb="6" eb="8">
      <t>バショ</t>
    </rPh>
    <phoneticPr fontId="1"/>
  </si>
  <si>
    <t>給水装置設置者名</t>
    <rPh sb="0" eb="2">
      <t>キュウスイ</t>
    </rPh>
    <rPh sb="2" eb="4">
      <t>ソウチ</t>
    </rPh>
    <rPh sb="4" eb="6">
      <t>セッチ</t>
    </rPh>
    <rPh sb="6" eb="7">
      <t>シャ</t>
    </rPh>
    <rPh sb="7" eb="8">
      <t>ナ</t>
    </rPh>
    <phoneticPr fontId="1"/>
  </si>
  <si>
    <t>前橋市水道局給水装置工事設計施工指針</t>
    <rPh sb="0" eb="2">
      <t>マエバシ</t>
    </rPh>
    <rPh sb="2" eb="3">
      <t>シ</t>
    </rPh>
    <rPh sb="3" eb="6">
      <t>スイドウキョク</t>
    </rPh>
    <rPh sb="6" eb="8">
      <t>キュウスイ</t>
    </rPh>
    <rPh sb="8" eb="10">
      <t>ソウチ</t>
    </rPh>
    <rPh sb="10" eb="11">
      <t>コウ</t>
    </rPh>
    <rPh sb="11" eb="12">
      <t>ジ</t>
    </rPh>
    <rPh sb="12" eb="14">
      <t>セッケイ</t>
    </rPh>
    <rPh sb="14" eb="16">
      <t>セコウ</t>
    </rPh>
    <rPh sb="16" eb="18">
      <t>シシン</t>
    </rPh>
    <phoneticPr fontId="1"/>
  </si>
  <si>
    <t>給水装置の設計</t>
  </si>
  <si>
    <t>直結直圧方式集合住宅</t>
    <rPh sb="0" eb="1">
      <t>チョク</t>
    </rPh>
    <rPh sb="1" eb="2">
      <t>ケツ</t>
    </rPh>
    <rPh sb="2" eb="3">
      <t>チョク</t>
    </rPh>
    <rPh sb="3" eb="4">
      <t>アツ</t>
    </rPh>
    <rPh sb="4" eb="6">
      <t>ホウシキ</t>
    </rPh>
    <rPh sb="6" eb="8">
      <t>シュウゴウ</t>
    </rPh>
    <rPh sb="8" eb="10">
      <t>ジュウタク</t>
    </rPh>
    <phoneticPr fontId="1"/>
  </si>
  <si>
    <t>1戸の設計水量</t>
    <rPh sb="1" eb="2">
      <t>コ</t>
    </rPh>
    <rPh sb="3" eb="5">
      <t>セッケイ</t>
    </rPh>
    <rPh sb="5" eb="7">
      <t>スイリョウ</t>
    </rPh>
    <phoneticPr fontId="1"/>
  </si>
  <si>
    <t>集合住宅の戸数</t>
    <rPh sb="0" eb="2">
      <t>シュウゴウ</t>
    </rPh>
    <rPh sb="2" eb="4">
      <t>ジュウタク</t>
    </rPh>
    <rPh sb="5" eb="7">
      <t>コスウ</t>
    </rPh>
    <phoneticPr fontId="1"/>
  </si>
  <si>
    <t>戸</t>
    <rPh sb="0" eb="1">
      <t>コ</t>
    </rPh>
    <phoneticPr fontId="1"/>
  </si>
  <si>
    <t>総同時使用率</t>
    <rPh sb="0" eb="1">
      <t>ソウ</t>
    </rPh>
    <rPh sb="1" eb="3">
      <t>ドウジ</t>
    </rPh>
    <rPh sb="3" eb="5">
      <t>シヨウ</t>
    </rPh>
    <rPh sb="5" eb="6">
      <t>リツ</t>
    </rPh>
    <phoneticPr fontId="1"/>
  </si>
  <si>
    <t>表4　戸数に対する総合同時使用率</t>
    <rPh sb="0" eb="1">
      <t>ヒョウ</t>
    </rPh>
    <rPh sb="3" eb="5">
      <t>コスウ</t>
    </rPh>
    <rPh sb="6" eb="7">
      <t>タイ</t>
    </rPh>
    <rPh sb="9" eb="11">
      <t>ソウゴウ</t>
    </rPh>
    <rPh sb="11" eb="13">
      <t>ドウジ</t>
    </rPh>
    <rPh sb="13" eb="15">
      <t>シヨウ</t>
    </rPh>
    <rPh sb="15" eb="16">
      <t>リツ</t>
    </rPh>
    <phoneticPr fontId="1"/>
  </si>
  <si>
    <t>各戸メータの管径を</t>
    <rPh sb="0" eb="1">
      <t>カク</t>
    </rPh>
    <rPh sb="1" eb="2">
      <t>コ</t>
    </rPh>
    <rPh sb="6" eb="7">
      <t>カン</t>
    </rPh>
    <rPh sb="7" eb="8">
      <t>ケイ</t>
    </rPh>
    <phoneticPr fontId="1"/>
  </si>
  <si>
    <t>給水主管の管径を</t>
    <rPh sb="0" eb="2">
      <t>キュウスイ</t>
    </rPh>
    <rPh sb="2" eb="4">
      <t>シュカン</t>
    </rPh>
    <rPh sb="5" eb="6">
      <t>カン</t>
    </rPh>
    <rPh sb="6" eb="7">
      <t>ケイ</t>
    </rPh>
    <phoneticPr fontId="1"/>
  </si>
  <si>
    <t>ヘーゼン・ウィリアム公式</t>
    <rPh sb="10" eb="12">
      <t>コウシキ</t>
    </rPh>
    <phoneticPr fontId="1"/>
  </si>
  <si>
    <t>I：動水勾配（‰）</t>
    <rPh sb="2" eb="3">
      <t>ドウ</t>
    </rPh>
    <rPh sb="3" eb="4">
      <t>ミズ</t>
    </rPh>
    <rPh sb="4" eb="6">
      <t>コウバイ</t>
    </rPh>
    <phoneticPr fontId="1"/>
  </si>
  <si>
    <t>Q：流量（ｍ3/秒）　</t>
    <rPh sb="2" eb="4">
      <t>リュウリョウ</t>
    </rPh>
    <rPh sb="8" eb="9">
      <t>ビョウ</t>
    </rPh>
    <phoneticPr fontId="1"/>
  </si>
  <si>
    <t>C：流速係数（ポリエチレン管は140）</t>
    <rPh sb="2" eb="4">
      <t>リュウソク</t>
    </rPh>
    <rPh sb="4" eb="6">
      <t>ケイスウ</t>
    </rPh>
    <rPh sb="13" eb="14">
      <t>カン</t>
    </rPh>
    <phoneticPr fontId="1"/>
  </si>
  <si>
    <t>ウエストン公式による動水勾配は前橋市給水装置工事設計施工指針のP16図２の流量線図からも求められます。</t>
    <rPh sb="5" eb="7">
      <t>コウシキ</t>
    </rPh>
    <rPh sb="10" eb="11">
      <t>ドウ</t>
    </rPh>
    <rPh sb="11" eb="12">
      <t>ミズ</t>
    </rPh>
    <rPh sb="12" eb="14">
      <t>コウバイ</t>
    </rPh>
    <rPh sb="15" eb="18">
      <t>マエバシシ</t>
    </rPh>
    <rPh sb="18" eb="20">
      <t>キュウスイ</t>
    </rPh>
    <rPh sb="20" eb="22">
      <t>ソウチ</t>
    </rPh>
    <rPh sb="22" eb="24">
      <t>コウジ</t>
    </rPh>
    <rPh sb="24" eb="26">
      <t>セッケイ</t>
    </rPh>
    <rPh sb="26" eb="28">
      <t>セコウ</t>
    </rPh>
    <rPh sb="28" eb="30">
      <t>シシン</t>
    </rPh>
    <rPh sb="34" eb="35">
      <t>ズ</t>
    </rPh>
    <rPh sb="37" eb="39">
      <t>リュウリョウ</t>
    </rPh>
    <rPh sb="39" eb="41">
      <t>センズ</t>
    </rPh>
    <rPh sb="40" eb="41">
      <t>ズ</t>
    </rPh>
    <rPh sb="44" eb="45">
      <t>モト</t>
    </rPh>
    <phoneticPr fontId="1"/>
  </si>
  <si>
    <t>J</t>
    <phoneticPr fontId="1"/>
  </si>
  <si>
    <t>K</t>
    <phoneticPr fontId="1"/>
  </si>
  <si>
    <t>エルボ（鋼管）</t>
    <rPh sb="4" eb="6">
      <t>コウカン</t>
    </rPh>
    <phoneticPr fontId="1"/>
  </si>
  <si>
    <t>チーズ（分岐　鋼管）</t>
    <rPh sb="7" eb="8">
      <t>コウ</t>
    </rPh>
    <phoneticPr fontId="1"/>
  </si>
  <si>
    <t>不断水分岐（バルブ無）</t>
    <rPh sb="0" eb="1">
      <t>フ</t>
    </rPh>
    <rPh sb="1" eb="3">
      <t>ダンスイ</t>
    </rPh>
    <rPh sb="3" eb="5">
      <t>ブンキ</t>
    </rPh>
    <rPh sb="9" eb="10">
      <t>ナシ</t>
    </rPh>
    <phoneticPr fontId="1"/>
  </si>
  <si>
    <t>鋼管チーズと同じ</t>
    <rPh sb="0" eb="1">
      <t>コウ</t>
    </rPh>
    <rPh sb="1" eb="2">
      <t>カン</t>
    </rPh>
    <rPh sb="6" eb="7">
      <t>オナ</t>
    </rPh>
    <phoneticPr fontId="1"/>
  </si>
  <si>
    <t>人</t>
    <rPh sb="0" eb="1">
      <t>ニン</t>
    </rPh>
    <phoneticPr fontId="1"/>
  </si>
  <si>
    <t>管径</t>
    <rPh sb="0" eb="2">
      <t>カンケイ</t>
    </rPh>
    <phoneticPr fontId="1"/>
  </si>
  <si>
    <t>管延長</t>
    <rPh sb="0" eb="1">
      <t>カン</t>
    </rPh>
    <rPh sb="1" eb="3">
      <t>エンチョウ</t>
    </rPh>
    <phoneticPr fontId="1"/>
  </si>
  <si>
    <t>管路区間</t>
    <rPh sb="0" eb="2">
      <t>カンロ</t>
    </rPh>
    <rPh sb="2" eb="4">
      <t>クカン</t>
    </rPh>
    <phoneticPr fontId="1"/>
  </si>
  <si>
    <t>総同時使用率</t>
    <rPh sb="0" eb="1">
      <t>ソウ</t>
    </rPh>
    <rPh sb="1" eb="3">
      <t>ドウジ</t>
    </rPh>
    <rPh sb="3" eb="5">
      <t>シヨウ</t>
    </rPh>
    <rPh sb="5" eb="6">
      <t>リツ</t>
    </rPh>
    <phoneticPr fontId="1"/>
  </si>
  <si>
    <t>％</t>
    <phoneticPr fontId="1"/>
  </si>
  <si>
    <t>L/min</t>
    <phoneticPr fontId="1"/>
  </si>
  <si>
    <t>L/min</t>
    <phoneticPr fontId="1"/>
  </si>
  <si>
    <t>全体の設計水量</t>
    <rPh sb="0" eb="2">
      <t>ゼンタイ</t>
    </rPh>
    <rPh sb="3" eb="5">
      <t>セッケイ</t>
    </rPh>
    <rPh sb="5" eb="7">
      <t>スイリョウ</t>
    </rPh>
    <phoneticPr fontId="1"/>
  </si>
  <si>
    <t>表６　器具類損失水頭の直管換算表（給水装置工事設計施工指針Ｐ20表6）</t>
  </si>
  <si>
    <t>注　分水栓（甲・乙）の損失水頭は直管換算表止水栓（乙）に準ずる。</t>
  </si>
  <si>
    <t>ヘーゼンウィリアムズ</t>
    <phoneticPr fontId="1"/>
  </si>
  <si>
    <t>ウエストン</t>
    <phoneticPr fontId="1"/>
  </si>
  <si>
    <t>同時使用率</t>
    <rPh sb="0" eb="2">
      <t>ドウジ</t>
    </rPh>
    <rPh sb="2" eb="4">
      <t>シヨウ</t>
    </rPh>
    <rPh sb="4" eb="5">
      <t>リツ</t>
    </rPh>
    <phoneticPr fontId="1"/>
  </si>
  <si>
    <t>現地最小動水圧</t>
    <rPh sb="0" eb="2">
      <t>ゲンチ</t>
    </rPh>
    <rPh sb="2" eb="4">
      <t>サイショウ</t>
    </rPh>
    <rPh sb="4" eb="5">
      <t>ドウ</t>
    </rPh>
    <rPh sb="5" eb="6">
      <t>スイ</t>
    </rPh>
    <rPh sb="6" eb="7">
      <t>アツ</t>
    </rPh>
    <phoneticPr fontId="1"/>
  </si>
  <si>
    <t>→</t>
    <phoneticPr fontId="1"/>
  </si>
  <si>
    <t>管径想定値</t>
    <rPh sb="0" eb="1">
      <t>カン</t>
    </rPh>
    <rPh sb="1" eb="2">
      <t>ケイ</t>
    </rPh>
    <rPh sb="2" eb="4">
      <t>ソウテイ</t>
    </rPh>
    <rPh sb="4" eb="5">
      <t>チ</t>
    </rPh>
    <phoneticPr fontId="1"/>
  </si>
  <si>
    <t>栓を想定</t>
    <rPh sb="0" eb="1">
      <t>セン</t>
    </rPh>
    <rPh sb="2" eb="4">
      <t>ソウテイ</t>
    </rPh>
    <phoneticPr fontId="1"/>
  </si>
  <si>
    <t>L/min</t>
    <phoneticPr fontId="1"/>
  </si>
  <si>
    <t>管径想定値</t>
    <rPh sb="0" eb="2">
      <t>カンケイ</t>
    </rPh>
    <rPh sb="2" eb="4">
      <t>ソウテイ</t>
    </rPh>
    <rPh sb="4" eb="5">
      <t>チ</t>
    </rPh>
    <phoneticPr fontId="1"/>
  </si>
  <si>
    <t>㎜</t>
    <phoneticPr fontId="1"/>
  </si>
  <si>
    <t>→</t>
    <phoneticPr fontId="1"/>
  </si>
  <si>
    <t>L/min</t>
    <phoneticPr fontId="1"/>
  </si>
  <si>
    <t>m/sec</t>
    <phoneticPr fontId="1"/>
  </si>
  <si>
    <t>ｍ（h）</t>
    <phoneticPr fontId="1"/>
  </si>
  <si>
    <t>Ｊ～Ｋ</t>
    <phoneticPr fontId="1"/>
  </si>
  <si>
    <t>K～L</t>
    <phoneticPr fontId="1"/>
  </si>
  <si>
    <t>m/sと設定</t>
    <rPh sb="4" eb="6">
      <t>セッテイ</t>
    </rPh>
    <phoneticPr fontId="1"/>
  </si>
  <si>
    <t>m3/s</t>
    <phoneticPr fontId="1"/>
  </si>
  <si>
    <t>【総水栓の設定】</t>
    <rPh sb="1" eb="2">
      <t>ソウ</t>
    </rPh>
    <rPh sb="2" eb="4">
      <t>スイセン</t>
    </rPh>
    <rPh sb="5" eb="7">
      <t>セッテイ</t>
    </rPh>
    <phoneticPr fontId="1"/>
  </si>
  <si>
    <t>【同時使用の水栓の設定】</t>
    <rPh sb="1" eb="3">
      <t>ドウジ</t>
    </rPh>
    <rPh sb="9" eb="11">
      <t>セッテイ</t>
    </rPh>
    <phoneticPr fontId="1"/>
  </si>
  <si>
    <t>【各戸メーターの管径】</t>
    <rPh sb="1" eb="2">
      <t>カク</t>
    </rPh>
    <rPh sb="2" eb="3">
      <t>コ</t>
    </rPh>
    <rPh sb="8" eb="10">
      <t>カンケイ</t>
    </rPh>
    <phoneticPr fontId="1"/>
  </si>
  <si>
    <t>【給水主管の管径】</t>
    <rPh sb="1" eb="3">
      <t>キュウスイ</t>
    </rPh>
    <rPh sb="3" eb="5">
      <t>シュカン</t>
    </rPh>
    <rPh sb="6" eb="8">
      <t>カンケイ</t>
    </rPh>
    <phoneticPr fontId="1"/>
  </si>
  <si>
    <t>【管延長の損失水頭】</t>
    <rPh sb="1" eb="2">
      <t>カン</t>
    </rPh>
    <rPh sb="2" eb="4">
      <t>エンチョウ</t>
    </rPh>
    <rPh sb="3" eb="4">
      <t>チョウ</t>
    </rPh>
    <rPh sb="5" eb="7">
      <t>ソンシツ</t>
    </rPh>
    <rPh sb="7" eb="9">
      <t>スイトウ</t>
    </rPh>
    <phoneticPr fontId="1"/>
  </si>
  <si>
    <t>【給水器具の損失水頭】</t>
    <rPh sb="1" eb="3">
      <t>キュウスイ</t>
    </rPh>
    <rPh sb="3" eb="5">
      <t>キグ</t>
    </rPh>
    <rPh sb="6" eb="8">
      <t>ソンシツ</t>
    </rPh>
    <rPh sb="8" eb="10">
      <t>スイトウ</t>
    </rPh>
    <phoneticPr fontId="1"/>
  </si>
  <si>
    <t>Ａ</t>
    <phoneticPr fontId="1"/>
  </si>
  <si>
    <t>末端給水器具の必要圧力</t>
    <rPh sb="0" eb="2">
      <t>マッタン</t>
    </rPh>
    <rPh sb="2" eb="4">
      <t>キュウスイ</t>
    </rPh>
    <rPh sb="7" eb="9">
      <t>ヒツヨウ</t>
    </rPh>
    <rPh sb="9" eb="11">
      <t>アツリョク</t>
    </rPh>
    <phoneticPr fontId="1"/>
  </si>
  <si>
    <t>配水管の管径</t>
    <rPh sb="0" eb="3">
      <t>ハイスイカン</t>
    </rPh>
    <rPh sb="4" eb="6">
      <t>カンケイ</t>
    </rPh>
    <phoneticPr fontId="1"/>
  </si>
  <si>
    <t>㎜</t>
    <phoneticPr fontId="1"/>
  </si>
  <si>
    <t>2階各戸メータの管径を</t>
    <rPh sb="1" eb="2">
      <t>カイ</t>
    </rPh>
    <rPh sb="2" eb="3">
      <t>カク</t>
    </rPh>
    <rPh sb="3" eb="4">
      <t>コ</t>
    </rPh>
    <rPh sb="8" eb="9">
      <t>カン</t>
    </rPh>
    <rPh sb="9" eb="10">
      <t>ケイ</t>
    </rPh>
    <phoneticPr fontId="1"/>
  </si>
  <si>
    <t>3階各戸メータの管径を</t>
    <rPh sb="1" eb="2">
      <t>カイ</t>
    </rPh>
    <rPh sb="2" eb="3">
      <t>カク</t>
    </rPh>
    <rPh sb="3" eb="4">
      <t>コ</t>
    </rPh>
    <rPh sb="8" eb="9">
      <t>カン</t>
    </rPh>
    <rPh sb="9" eb="10">
      <t>ケイ</t>
    </rPh>
    <phoneticPr fontId="1"/>
  </si>
  <si>
    <t>【2F管延長の損失水頭】</t>
    <rPh sb="3" eb="4">
      <t>カン</t>
    </rPh>
    <rPh sb="4" eb="6">
      <t>エンチョウ</t>
    </rPh>
    <rPh sb="5" eb="6">
      <t>チョウ</t>
    </rPh>
    <rPh sb="7" eb="9">
      <t>ソンシツ</t>
    </rPh>
    <rPh sb="9" eb="11">
      <t>スイトウ</t>
    </rPh>
    <phoneticPr fontId="1"/>
  </si>
  <si>
    <t>【2F給水器具の損失水頭】</t>
    <rPh sb="3" eb="5">
      <t>キュウスイ</t>
    </rPh>
    <rPh sb="5" eb="7">
      <t>キグ</t>
    </rPh>
    <rPh sb="8" eb="10">
      <t>ソンシツ</t>
    </rPh>
    <rPh sb="10" eb="12">
      <t>スイトウ</t>
    </rPh>
    <phoneticPr fontId="1"/>
  </si>
  <si>
    <t>【3F管延長の損失水頭】</t>
    <rPh sb="3" eb="4">
      <t>カン</t>
    </rPh>
    <rPh sb="4" eb="6">
      <t>エンチョウ</t>
    </rPh>
    <rPh sb="5" eb="6">
      <t>チョウ</t>
    </rPh>
    <rPh sb="7" eb="9">
      <t>ソンシツ</t>
    </rPh>
    <rPh sb="9" eb="11">
      <t>スイトウ</t>
    </rPh>
    <phoneticPr fontId="1"/>
  </si>
  <si>
    <t>【3F給水器具の損失水頭】</t>
    <rPh sb="3" eb="5">
      <t>キュウスイ</t>
    </rPh>
    <rPh sb="5" eb="7">
      <t>キグ</t>
    </rPh>
    <rPh sb="8" eb="10">
      <t>ソンシツ</t>
    </rPh>
    <rPh sb="10" eb="12">
      <t>スイトウ</t>
    </rPh>
    <phoneticPr fontId="1"/>
  </si>
  <si>
    <t>２F管延長損失水頭の合計</t>
    <rPh sb="2" eb="3">
      <t>カン</t>
    </rPh>
    <rPh sb="3" eb="5">
      <t>エンチョウ</t>
    </rPh>
    <rPh sb="5" eb="7">
      <t>ソンシツ</t>
    </rPh>
    <rPh sb="7" eb="9">
      <t>スイトウ</t>
    </rPh>
    <rPh sb="10" eb="12">
      <t>ゴウケイ</t>
    </rPh>
    <phoneticPr fontId="1"/>
  </si>
  <si>
    <t>２F給水器具等損失水頭の合計</t>
    <rPh sb="2" eb="4">
      <t>キュウスイ</t>
    </rPh>
    <rPh sb="4" eb="6">
      <t>キグ</t>
    </rPh>
    <rPh sb="6" eb="7">
      <t>トウ</t>
    </rPh>
    <rPh sb="7" eb="9">
      <t>ソンシツ</t>
    </rPh>
    <rPh sb="9" eb="11">
      <t>スイトウ</t>
    </rPh>
    <rPh sb="12" eb="14">
      <t>ゴウケイ</t>
    </rPh>
    <phoneticPr fontId="1"/>
  </si>
  <si>
    <t>３F管延長損失水頭の合計</t>
    <rPh sb="2" eb="3">
      <t>カン</t>
    </rPh>
    <rPh sb="3" eb="5">
      <t>エンチョウ</t>
    </rPh>
    <rPh sb="5" eb="7">
      <t>ソンシツ</t>
    </rPh>
    <rPh sb="7" eb="9">
      <t>スイトウ</t>
    </rPh>
    <rPh sb="10" eb="12">
      <t>ゴウケイ</t>
    </rPh>
    <phoneticPr fontId="1"/>
  </si>
  <si>
    <t>3F給水器具等損失水頭の合計</t>
    <rPh sb="2" eb="4">
      <t>キュウスイ</t>
    </rPh>
    <rPh sb="4" eb="6">
      <t>キグ</t>
    </rPh>
    <rPh sb="6" eb="7">
      <t>トウ</t>
    </rPh>
    <rPh sb="7" eb="9">
      <t>ソンシツ</t>
    </rPh>
    <rPh sb="9" eb="11">
      <t>スイトウ</t>
    </rPh>
    <rPh sb="12" eb="14">
      <t>ゴウケイ</t>
    </rPh>
    <phoneticPr fontId="1"/>
  </si>
  <si>
    <t>２F所要水頭</t>
    <rPh sb="2" eb="4">
      <t>ショヨウ</t>
    </rPh>
    <rPh sb="4" eb="6">
      <t>スイトウ</t>
    </rPh>
    <phoneticPr fontId="1"/>
  </si>
  <si>
    <t>3F所要水頭</t>
    <rPh sb="2" eb="4">
      <t>ショヨウ</t>
    </rPh>
    <rPh sb="4" eb="6">
      <t>スイトウ</t>
    </rPh>
    <phoneticPr fontId="1"/>
  </si>
  <si>
    <t>m</t>
    <phoneticPr fontId="1"/>
  </si>
  <si>
    <t>ｍ</t>
    <phoneticPr fontId="1"/>
  </si>
  <si>
    <t>【判定】</t>
    <rPh sb="1" eb="3">
      <t>ハンテイ</t>
    </rPh>
    <phoneticPr fontId="1"/>
  </si>
  <si>
    <t>10戸未満</t>
    <rPh sb="2" eb="3">
      <t>コ</t>
    </rPh>
    <rPh sb="3" eb="5">
      <t>ミマン</t>
    </rPh>
    <phoneticPr fontId="1"/>
  </si>
  <si>
    <t>全戸の使用水量　</t>
    <rPh sb="0" eb="2">
      <t>ゼンコ</t>
    </rPh>
    <rPh sb="3" eb="5">
      <t>シヨウ</t>
    </rPh>
    <rPh sb="5" eb="7">
      <t>スイリョウ</t>
    </rPh>
    <phoneticPr fontId="1"/>
  </si>
  <si>
    <t>全戸の使用水量　　　　　　</t>
    <rPh sb="0" eb="2">
      <t>ゼンコ</t>
    </rPh>
    <rPh sb="3" eb="5">
      <t>シヨウ</t>
    </rPh>
    <rPh sb="5" eb="7">
      <t>スイリョウ</t>
    </rPh>
    <phoneticPr fontId="1"/>
  </si>
  <si>
    <t>10戸～600戸</t>
    <rPh sb="2" eb="3">
      <t>コ</t>
    </rPh>
    <rPh sb="7" eb="8">
      <t>コ</t>
    </rPh>
    <phoneticPr fontId="1"/>
  </si>
  <si>
    <t>全体の設計水量　　　　　　</t>
    <rPh sb="0" eb="2">
      <t>ゼンタイ</t>
    </rPh>
    <rPh sb="3" eb="5">
      <t>セッケイ</t>
    </rPh>
    <rPh sb="5" eb="7">
      <t>スイリョウ</t>
    </rPh>
    <phoneticPr fontId="1"/>
  </si>
  <si>
    <t>【緒元】（戸数から同時使用水量を算定）</t>
    <rPh sb="1" eb="3">
      <t>ショゲン</t>
    </rPh>
    <rPh sb="5" eb="7">
      <t>コスウ</t>
    </rPh>
    <rPh sb="9" eb="11">
      <t>ドウジ</t>
    </rPh>
    <rPh sb="11" eb="13">
      <t>シヨウ</t>
    </rPh>
    <rPh sb="13" eb="15">
      <t>スイリョウ</t>
    </rPh>
    <rPh sb="16" eb="18">
      <t>サンテイ</t>
    </rPh>
    <phoneticPr fontId="1"/>
  </si>
  <si>
    <t>【緒元】（各戸使用水量と戸数の同時使用率から同時使用水量を算定）</t>
    <rPh sb="1" eb="3">
      <t>ショゲン</t>
    </rPh>
    <rPh sb="5" eb="6">
      <t>カク</t>
    </rPh>
    <rPh sb="6" eb="7">
      <t>コ</t>
    </rPh>
    <rPh sb="7" eb="9">
      <t>シヨウ</t>
    </rPh>
    <rPh sb="9" eb="11">
      <t>スイリョウ</t>
    </rPh>
    <rPh sb="12" eb="14">
      <t>コスウ</t>
    </rPh>
    <rPh sb="15" eb="17">
      <t>ドウジ</t>
    </rPh>
    <rPh sb="17" eb="19">
      <t>シヨウ</t>
    </rPh>
    <rPh sb="19" eb="20">
      <t>リツ</t>
    </rPh>
    <rPh sb="22" eb="24">
      <t>ドウジ</t>
    </rPh>
    <rPh sb="24" eb="26">
      <t>シヨウ</t>
    </rPh>
    <rPh sb="26" eb="28">
      <t>スイリョウ</t>
    </rPh>
    <rPh sb="29" eb="31">
      <t>サンテイ</t>
    </rPh>
    <phoneticPr fontId="1"/>
  </si>
  <si>
    <t>【緒元】（各戸使用水量と戸数の同時使用率から同時使用水量を算定）</t>
    <rPh sb="22" eb="24">
      <t>ドウジ</t>
    </rPh>
    <rPh sb="24" eb="26">
      <t>シヨウ</t>
    </rPh>
    <rPh sb="26" eb="28">
      <t>スイリョウ</t>
    </rPh>
    <phoneticPr fontId="1"/>
  </si>
  <si>
    <t>【緒元】（居住人数から同時使用水量を算定）</t>
    <rPh sb="1" eb="3">
      <t>ショゲン</t>
    </rPh>
    <rPh sb="5" eb="7">
      <t>キョジュウ</t>
    </rPh>
    <rPh sb="7" eb="9">
      <t>ニンズウ</t>
    </rPh>
    <rPh sb="11" eb="13">
      <t>ドウジ</t>
    </rPh>
    <rPh sb="13" eb="15">
      <t>シヨウ</t>
    </rPh>
    <rPh sb="15" eb="17">
      <t>スイリョウ</t>
    </rPh>
    <rPh sb="18" eb="20">
      <t>サンテイ</t>
    </rPh>
    <phoneticPr fontId="1"/>
  </si>
  <si>
    <t>1～30人</t>
    <rPh sb="4" eb="5">
      <t>ニン</t>
    </rPh>
    <phoneticPr fontId="1"/>
  </si>
  <si>
    <t>31～200人</t>
    <rPh sb="6" eb="7">
      <t>ニン</t>
    </rPh>
    <phoneticPr fontId="1"/>
  </si>
  <si>
    <t>201～2000人</t>
    <rPh sb="8" eb="9">
      <t>ニン</t>
    </rPh>
    <phoneticPr fontId="1"/>
  </si>
  <si>
    <t>一戸あたりの居住人数</t>
    <rPh sb="0" eb="2">
      <t>イッコ</t>
    </rPh>
    <rPh sb="6" eb="8">
      <t>キョジュウ</t>
    </rPh>
    <rPh sb="8" eb="10">
      <t>ニンズウ</t>
    </rPh>
    <phoneticPr fontId="1"/>
  </si>
  <si>
    <t>集合住宅の戸数</t>
    <rPh sb="0" eb="2">
      <t>シュウゴウ</t>
    </rPh>
    <rPh sb="2" eb="4">
      <t>ジュウタク</t>
    </rPh>
    <rPh sb="5" eb="7">
      <t>コスウ</t>
    </rPh>
    <phoneticPr fontId="1"/>
  </si>
  <si>
    <t>戸</t>
    <rPh sb="0" eb="1">
      <t>コ</t>
    </rPh>
    <phoneticPr fontId="1"/>
  </si>
  <si>
    <t>集合住宅の居住人数</t>
    <rPh sb="0" eb="2">
      <t>シュウゴウ</t>
    </rPh>
    <rPh sb="2" eb="4">
      <t>ジュウタク</t>
    </rPh>
    <rPh sb="5" eb="7">
      <t>キョジュウ</t>
    </rPh>
    <rPh sb="7" eb="9">
      <t>ニンズウ</t>
    </rPh>
    <phoneticPr fontId="1"/>
  </si>
  <si>
    <t>人</t>
    <rPh sb="0" eb="1">
      <t>ニン</t>
    </rPh>
    <phoneticPr fontId="1"/>
  </si>
  <si>
    <t>一戸当たりの居住人数</t>
    <rPh sb="0" eb="2">
      <t>イッコ</t>
    </rPh>
    <rPh sb="2" eb="3">
      <t>ア</t>
    </rPh>
    <rPh sb="6" eb="8">
      <t>キョジュウ</t>
    </rPh>
    <rPh sb="8" eb="10">
      <t>ニンズウ</t>
    </rPh>
    <phoneticPr fontId="1"/>
  </si>
  <si>
    <t>集合住宅の居住人数</t>
    <rPh sb="0" eb="2">
      <t>シュウゴウ</t>
    </rPh>
    <rPh sb="2" eb="4">
      <t>ジュウタク</t>
    </rPh>
    <rPh sb="5" eb="7">
      <t>キョジュウ</t>
    </rPh>
    <rPh sb="7" eb="9">
      <t>ニンズウ</t>
    </rPh>
    <phoneticPr fontId="1"/>
  </si>
  <si>
    <t>参考シート参照※１</t>
    <rPh sb="0" eb="2">
      <t>サンコウ</t>
    </rPh>
    <rPh sb="5" eb="7">
      <t>サンショウ</t>
    </rPh>
    <phoneticPr fontId="1"/>
  </si>
  <si>
    <t>参考シート参照※２</t>
    <rPh sb="0" eb="2">
      <t>サンコウ</t>
    </rPh>
    <rPh sb="5" eb="7">
      <t>サンショウ</t>
    </rPh>
    <phoneticPr fontId="1"/>
  </si>
  <si>
    <t>参考シート参照※３</t>
    <rPh sb="0" eb="2">
      <t>サンコウ</t>
    </rPh>
    <rPh sb="5" eb="7">
      <t>サンショウ</t>
    </rPh>
    <phoneticPr fontId="1"/>
  </si>
  <si>
    <t>参考シート参照※４</t>
    <rPh sb="0" eb="2">
      <t>サンコウ</t>
    </rPh>
    <rPh sb="5" eb="7">
      <t>サンショウ</t>
    </rPh>
    <phoneticPr fontId="1"/>
  </si>
  <si>
    <t>参考シート参照※１</t>
    <phoneticPr fontId="1"/>
  </si>
  <si>
    <t>参考シート参照※２</t>
    <phoneticPr fontId="1"/>
  </si>
  <si>
    <t>参考シート参照※３</t>
    <phoneticPr fontId="1"/>
  </si>
  <si>
    <t>参考シート参照※４</t>
    <phoneticPr fontId="1"/>
  </si>
  <si>
    <t>参考シート参照※２</t>
    <phoneticPr fontId="1"/>
  </si>
  <si>
    <t>【※１】</t>
    <phoneticPr fontId="1"/>
  </si>
  <si>
    <t>【※２】</t>
    <phoneticPr fontId="1"/>
  </si>
  <si>
    <t>前橋市給水装置工事設計施工指針P13</t>
    <rPh sb="0" eb="3">
      <t>マエバシシ</t>
    </rPh>
    <rPh sb="3" eb="5">
      <t>キュウスイ</t>
    </rPh>
    <rPh sb="5" eb="7">
      <t>ソウチ</t>
    </rPh>
    <rPh sb="7" eb="9">
      <t>コウジ</t>
    </rPh>
    <rPh sb="9" eb="11">
      <t>セッケイ</t>
    </rPh>
    <rPh sb="11" eb="13">
      <t>セコウ</t>
    </rPh>
    <rPh sb="13" eb="15">
      <t>シシン</t>
    </rPh>
    <phoneticPr fontId="1"/>
  </si>
  <si>
    <t>【※３】</t>
    <phoneticPr fontId="1"/>
  </si>
  <si>
    <t>水道施設設計指針2012（公益社団法人日本水道協会）P702</t>
    <rPh sb="0" eb="2">
      <t>スイドウ</t>
    </rPh>
    <rPh sb="2" eb="4">
      <t>シセツ</t>
    </rPh>
    <rPh sb="4" eb="6">
      <t>セッケイ</t>
    </rPh>
    <rPh sb="6" eb="8">
      <t>シシン</t>
    </rPh>
    <rPh sb="13" eb="15">
      <t>コウエキ</t>
    </rPh>
    <rPh sb="15" eb="17">
      <t>シャダン</t>
    </rPh>
    <rPh sb="17" eb="19">
      <t>ホウジン</t>
    </rPh>
    <rPh sb="19" eb="21">
      <t>ニホン</t>
    </rPh>
    <rPh sb="21" eb="23">
      <t>スイドウ</t>
    </rPh>
    <rPh sb="23" eb="25">
      <t>キョウカイ</t>
    </rPh>
    <phoneticPr fontId="1"/>
  </si>
  <si>
    <t>・３１人～２００人以下 　同時使用水量＝13×（人数）^0.56</t>
    <rPh sb="3" eb="4">
      <t>ニン</t>
    </rPh>
    <rPh sb="8" eb="9">
      <t>ニン</t>
    </rPh>
    <rPh sb="9" eb="11">
      <t>イカ</t>
    </rPh>
    <rPh sb="13" eb="15">
      <t>ドウジ</t>
    </rPh>
    <rPh sb="15" eb="17">
      <t>シヨウ</t>
    </rPh>
    <rPh sb="17" eb="19">
      <t>スイリョウ</t>
    </rPh>
    <rPh sb="24" eb="26">
      <t>ニンズウ</t>
    </rPh>
    <phoneticPr fontId="1"/>
  </si>
  <si>
    <t>・201人～2000人以下　同時使用水量＝6.9×（人数）^0.67</t>
    <rPh sb="4" eb="5">
      <t>ニン</t>
    </rPh>
    <rPh sb="10" eb="13">
      <t>ニンイカ</t>
    </rPh>
    <rPh sb="14" eb="16">
      <t>ドウジ</t>
    </rPh>
    <rPh sb="16" eb="18">
      <t>シヨウ</t>
    </rPh>
    <rPh sb="18" eb="20">
      <t>スイリョウ</t>
    </rPh>
    <rPh sb="26" eb="28">
      <t>ニンズウ</t>
    </rPh>
    <phoneticPr fontId="1"/>
  </si>
  <si>
    <t>・３０人以下　　　　　　 　同時使用水量＝26×（人数）^0.36</t>
    <rPh sb="3" eb="4">
      <t>ニン</t>
    </rPh>
    <rPh sb="4" eb="6">
      <t>イカ</t>
    </rPh>
    <rPh sb="14" eb="16">
      <t>ドウジ</t>
    </rPh>
    <rPh sb="16" eb="18">
      <t>シヨウ</t>
    </rPh>
    <rPh sb="18" eb="20">
      <t>スイリョウ</t>
    </rPh>
    <rPh sb="25" eb="27">
      <t>ニンズウ</t>
    </rPh>
    <phoneticPr fontId="1"/>
  </si>
  <si>
    <t>・１０戸～６００戸未満 　同時使用水量＝19×（戸数）^0.67</t>
    <rPh sb="3" eb="4">
      <t>コ</t>
    </rPh>
    <rPh sb="8" eb="9">
      <t>コ</t>
    </rPh>
    <rPh sb="9" eb="11">
      <t>ミマン</t>
    </rPh>
    <rPh sb="13" eb="15">
      <t>ドウジ</t>
    </rPh>
    <rPh sb="15" eb="17">
      <t>シヨウ</t>
    </rPh>
    <rPh sb="17" eb="19">
      <t>スイリョウ</t>
    </rPh>
    <rPh sb="24" eb="26">
      <t>コスウ</t>
    </rPh>
    <phoneticPr fontId="1"/>
  </si>
  <si>
    <t>②戸数から同時使用水量を予測する算定式</t>
    <rPh sb="1" eb="3">
      <t>コスウ</t>
    </rPh>
    <rPh sb="5" eb="7">
      <t>ドウジ</t>
    </rPh>
    <rPh sb="7" eb="9">
      <t>シヨウ</t>
    </rPh>
    <rPh sb="9" eb="11">
      <t>スイリョウ</t>
    </rPh>
    <rPh sb="12" eb="14">
      <t>ヨソク</t>
    </rPh>
    <rPh sb="16" eb="18">
      <t>サンテイ</t>
    </rPh>
    <rPh sb="18" eb="19">
      <t>シキ</t>
    </rPh>
    <phoneticPr fontId="1"/>
  </si>
  <si>
    <t>③居住人数から同時使用水量を予測する算定式</t>
    <rPh sb="1" eb="3">
      <t>キョジュウ</t>
    </rPh>
    <rPh sb="3" eb="5">
      <t>ニンズウ</t>
    </rPh>
    <rPh sb="7" eb="9">
      <t>ドウジ</t>
    </rPh>
    <rPh sb="9" eb="11">
      <t>シヨウ</t>
    </rPh>
    <rPh sb="11" eb="13">
      <t>スイリョウ</t>
    </rPh>
    <rPh sb="14" eb="16">
      <t>ヨソク</t>
    </rPh>
    <rPh sb="18" eb="20">
      <t>サンテイ</t>
    </rPh>
    <rPh sb="20" eb="21">
      <t>シキ</t>
    </rPh>
    <phoneticPr fontId="1"/>
  </si>
  <si>
    <t>①各戸使用水量と戸数の同時使用率から同時使用水量を算定</t>
    <rPh sb="1" eb="2">
      <t>カク</t>
    </rPh>
    <rPh sb="2" eb="3">
      <t>コ</t>
    </rPh>
    <rPh sb="3" eb="5">
      <t>シヨウ</t>
    </rPh>
    <rPh sb="5" eb="7">
      <t>スイリョウ</t>
    </rPh>
    <rPh sb="8" eb="10">
      <t>コスウ</t>
    </rPh>
    <rPh sb="11" eb="13">
      <t>ドウジ</t>
    </rPh>
    <rPh sb="13" eb="15">
      <t>シヨウ</t>
    </rPh>
    <rPh sb="15" eb="16">
      <t>リツ</t>
    </rPh>
    <rPh sb="18" eb="20">
      <t>ドウジ</t>
    </rPh>
    <rPh sb="20" eb="22">
      <t>シヨウ</t>
    </rPh>
    <rPh sb="22" eb="24">
      <t>スイリョウ</t>
    </rPh>
    <rPh sb="25" eb="27">
      <t>サンテイ</t>
    </rPh>
    <phoneticPr fontId="1"/>
  </si>
  <si>
    <t>【※４】</t>
    <phoneticPr fontId="1"/>
  </si>
  <si>
    <t>※青色セル：入力要</t>
    <rPh sb="1" eb="3">
      <t>アオイロ</t>
    </rPh>
    <rPh sb="6" eb="8">
      <t>ニュウリョク</t>
    </rPh>
    <rPh sb="8" eb="9">
      <t>ヨウ</t>
    </rPh>
    <phoneticPr fontId="1"/>
  </si>
  <si>
    <t>※青色セル：入力要</t>
    <phoneticPr fontId="1"/>
  </si>
  <si>
    <t>※青色セル：入力要</t>
    <phoneticPr fontId="1"/>
  </si>
  <si>
    <t>※青色セル：入力要</t>
    <phoneticPr fontId="1"/>
  </si>
  <si>
    <t>参考シート参照※１</t>
    <phoneticPr fontId="1"/>
  </si>
  <si>
    <t>参考シート参照※１</t>
    <phoneticPr fontId="1"/>
  </si>
  <si>
    <t>参考シート参照※２</t>
    <phoneticPr fontId="1"/>
  </si>
  <si>
    <t>参考シート参照※３</t>
    <phoneticPr fontId="1"/>
  </si>
  <si>
    <t>参考シート参照※１</t>
    <phoneticPr fontId="1"/>
  </si>
  <si>
    <t>参考シート参照※２</t>
    <phoneticPr fontId="1"/>
  </si>
  <si>
    <t>参考シート参照※３</t>
    <phoneticPr fontId="1"/>
  </si>
  <si>
    <t>参考シート参照※１</t>
    <phoneticPr fontId="1"/>
  </si>
  <si>
    <t>参考シート参照※２</t>
    <phoneticPr fontId="1"/>
  </si>
  <si>
    <t>参考シート参照※４</t>
    <phoneticPr fontId="1"/>
  </si>
  <si>
    <t>参考シート参照※４</t>
    <phoneticPr fontId="1"/>
  </si>
  <si>
    <t>L/min</t>
    <phoneticPr fontId="1"/>
  </si>
  <si>
    <t>一部屋あたりの設計数量（二部屋目以降使用）</t>
    <rPh sb="0" eb="1">
      <t>ヒト</t>
    </rPh>
    <rPh sb="1" eb="3">
      <t>ヘヤ</t>
    </rPh>
    <rPh sb="7" eb="9">
      <t>セッケイ</t>
    </rPh>
    <rPh sb="9" eb="11">
      <t>スウリョウ</t>
    </rPh>
    <rPh sb="12" eb="13">
      <t>フタ</t>
    </rPh>
    <rPh sb="13" eb="15">
      <t>ヘヤ</t>
    </rPh>
    <rPh sb="15" eb="16">
      <t>メ</t>
    </rPh>
    <rPh sb="16" eb="18">
      <t>イコウ</t>
    </rPh>
    <rPh sb="18" eb="20">
      <t>シヨウ</t>
    </rPh>
    <phoneticPr fontId="1"/>
  </si>
  <si>
    <t>→</t>
    <phoneticPr fontId="1"/>
  </si>
  <si>
    <t>L/min</t>
    <phoneticPr fontId="1"/>
  </si>
  <si>
    <t>一部屋あたりの設計数量（二部屋目以降使用）</t>
    <phoneticPr fontId="1"/>
  </si>
  <si>
    <t>一部屋あたりの設計数量（二部屋目以降使用）</t>
    <phoneticPr fontId="1"/>
  </si>
  <si>
    <t>L/min</t>
    <phoneticPr fontId="1"/>
  </si>
  <si>
    <t>→</t>
    <phoneticPr fontId="1"/>
  </si>
  <si>
    <t>→</t>
    <phoneticPr fontId="1"/>
  </si>
  <si>
    <t>→</t>
    <phoneticPr fontId="1"/>
  </si>
  <si>
    <t>L/min</t>
    <phoneticPr fontId="1"/>
  </si>
  <si>
    <t>L/min</t>
    <phoneticPr fontId="1"/>
  </si>
  <si>
    <t>L/min</t>
    <phoneticPr fontId="1"/>
  </si>
  <si>
    <t>一部屋あたりの設計数量（二部屋目以降使用）</t>
    <phoneticPr fontId="1"/>
  </si>
  <si>
    <t>・はじめに</t>
    <phoneticPr fontId="1"/>
  </si>
  <si>
    <t>　当ツールは「前橋市水道局水道整備課」が、水理計算を行う際の参考用資料として提供しているものであり、公的なものではありません。</t>
    <rPh sb="1" eb="2">
      <t>トウ</t>
    </rPh>
    <rPh sb="7" eb="10">
      <t>マエバシシ</t>
    </rPh>
    <rPh sb="10" eb="13">
      <t>スイドウキョク</t>
    </rPh>
    <rPh sb="13" eb="15">
      <t>スイドウ</t>
    </rPh>
    <rPh sb="15" eb="17">
      <t>セイビ</t>
    </rPh>
    <rPh sb="17" eb="18">
      <t>カ</t>
    </rPh>
    <rPh sb="21" eb="23">
      <t>スイリ</t>
    </rPh>
    <rPh sb="23" eb="25">
      <t>ケイサン</t>
    </rPh>
    <rPh sb="26" eb="27">
      <t>オコナ</t>
    </rPh>
    <rPh sb="28" eb="29">
      <t>サイ</t>
    </rPh>
    <rPh sb="30" eb="32">
      <t>サンコウ</t>
    </rPh>
    <rPh sb="32" eb="33">
      <t>ヨウ</t>
    </rPh>
    <rPh sb="33" eb="35">
      <t>シリョウ</t>
    </rPh>
    <rPh sb="38" eb="40">
      <t>テイキョウ</t>
    </rPh>
    <rPh sb="50" eb="52">
      <t>コウテキ</t>
    </rPh>
    <phoneticPr fontId="1"/>
  </si>
  <si>
    <t>　当ツール使用による算出不良や、パソコン等OA機器の故障やトラブルが発生した場合にも、水道局は一切の責任を負いませんので、あらかじめご了承ください。</t>
    <rPh sb="1" eb="2">
      <t>トウ</t>
    </rPh>
    <rPh sb="5" eb="7">
      <t>シヨウ</t>
    </rPh>
    <rPh sb="10" eb="12">
      <t>サンシュツ</t>
    </rPh>
    <rPh sb="12" eb="14">
      <t>フリョウ</t>
    </rPh>
    <rPh sb="20" eb="21">
      <t>トウ</t>
    </rPh>
    <rPh sb="23" eb="25">
      <t>キキ</t>
    </rPh>
    <rPh sb="26" eb="28">
      <t>コショウ</t>
    </rPh>
    <rPh sb="34" eb="36">
      <t>ハッセイ</t>
    </rPh>
    <rPh sb="38" eb="40">
      <t>バアイ</t>
    </rPh>
    <rPh sb="43" eb="46">
      <t>スイドウキョク</t>
    </rPh>
    <rPh sb="47" eb="49">
      <t>イッサイ</t>
    </rPh>
    <rPh sb="50" eb="52">
      <t>セキニン</t>
    </rPh>
    <rPh sb="53" eb="54">
      <t>オ</t>
    </rPh>
    <rPh sb="67" eb="69">
      <t>リョウショウ</t>
    </rPh>
    <phoneticPr fontId="1"/>
  </si>
  <si>
    <t>　なお、エクセルの基本操作等については、ご指導いたしかねます。</t>
    <rPh sb="9" eb="11">
      <t>キホン</t>
    </rPh>
    <rPh sb="11" eb="13">
      <t>ソウサ</t>
    </rPh>
    <rPh sb="13" eb="14">
      <t>トウ</t>
    </rPh>
    <rPh sb="21" eb="23">
      <t>シドウ</t>
    </rPh>
    <phoneticPr fontId="1"/>
  </si>
  <si>
    <t>・注意事項</t>
    <rPh sb="1" eb="3">
      <t>チュウイ</t>
    </rPh>
    <rPh sb="3" eb="5">
      <t>ジコウ</t>
    </rPh>
    <phoneticPr fontId="1"/>
  </si>
  <si>
    <t>・提供元</t>
    <rPh sb="1" eb="3">
      <t>テイキョウ</t>
    </rPh>
    <rPh sb="3" eb="4">
      <t>モト</t>
    </rPh>
    <phoneticPr fontId="1"/>
  </si>
  <si>
    <t>　前橋市水道局水道整備課　給水装置係</t>
    <rPh sb="1" eb="4">
      <t>マエバシシ</t>
    </rPh>
    <rPh sb="4" eb="7">
      <t>スイドウキョク</t>
    </rPh>
    <rPh sb="7" eb="9">
      <t>スイドウ</t>
    </rPh>
    <rPh sb="9" eb="11">
      <t>セイビ</t>
    </rPh>
    <rPh sb="11" eb="12">
      <t>カ</t>
    </rPh>
    <rPh sb="13" eb="15">
      <t>キュウスイ</t>
    </rPh>
    <rPh sb="15" eb="17">
      <t>ソウチ</t>
    </rPh>
    <rPh sb="17" eb="18">
      <t>カカリ</t>
    </rPh>
    <phoneticPr fontId="1"/>
  </si>
  <si>
    <t>　電話027-898-3043</t>
    <rPh sb="1" eb="3">
      <t>デンワ</t>
    </rPh>
    <phoneticPr fontId="1"/>
  </si>
  <si>
    <t>初回</t>
    <rPh sb="0" eb="2">
      <t>ショカイ</t>
    </rPh>
    <phoneticPr fontId="1"/>
  </si>
  <si>
    <t>No</t>
    <phoneticPr fontId="1"/>
  </si>
  <si>
    <t>更新日</t>
    <rPh sb="0" eb="3">
      <t>コウシンビ</t>
    </rPh>
    <phoneticPr fontId="1"/>
  </si>
  <si>
    <t>更新内容</t>
    <rPh sb="0" eb="2">
      <t>コウシン</t>
    </rPh>
    <rPh sb="2" eb="4">
      <t>ナイヨウ</t>
    </rPh>
    <phoneticPr fontId="1"/>
  </si>
  <si>
    <t>　当ツールを利用した資料の提出にあたっては、入力内容および算出結果の確認を十分行ってください。</t>
    <rPh sb="1" eb="2">
      <t>トウ</t>
    </rPh>
    <rPh sb="6" eb="8">
      <t>リヨウ</t>
    </rPh>
    <rPh sb="10" eb="12">
      <t>シリョウ</t>
    </rPh>
    <rPh sb="13" eb="15">
      <t>テイシュツ</t>
    </rPh>
    <rPh sb="22" eb="24">
      <t>ニュウリョク</t>
    </rPh>
    <rPh sb="24" eb="26">
      <t>ナイヨウ</t>
    </rPh>
    <rPh sb="29" eb="31">
      <t>サンシュツ</t>
    </rPh>
    <rPh sb="31" eb="33">
      <t>ケッカ</t>
    </rPh>
    <rPh sb="34" eb="36">
      <t>カクニン</t>
    </rPh>
    <rPh sb="37" eb="39">
      <t>ジュウブン</t>
    </rPh>
    <rPh sb="39" eb="40">
      <t>オコナ</t>
    </rPh>
    <phoneticPr fontId="1"/>
  </si>
  <si>
    <t>　当ツールを、前橋市水道局以外への協議や、提出資料として使用する際は自己責任において利用するものとし、問題が発生した場合にも水道局は一切の責任を負いません。</t>
    <rPh sb="1" eb="2">
      <t>トウ</t>
    </rPh>
    <rPh sb="7" eb="10">
      <t>マエバシシ</t>
    </rPh>
    <rPh sb="10" eb="13">
      <t>スイドウキョク</t>
    </rPh>
    <rPh sb="13" eb="15">
      <t>イガイ</t>
    </rPh>
    <rPh sb="17" eb="19">
      <t>キョウギ</t>
    </rPh>
    <rPh sb="21" eb="23">
      <t>テイシュツ</t>
    </rPh>
    <rPh sb="23" eb="25">
      <t>シリョウ</t>
    </rPh>
    <phoneticPr fontId="1"/>
  </si>
  <si>
    <t>3F 給水器具等のリンク修正</t>
    <rPh sb="3" eb="5">
      <t>キュウスイ</t>
    </rPh>
    <rPh sb="5" eb="7">
      <t>キグ</t>
    </rPh>
    <rPh sb="7" eb="8">
      <t>トウ</t>
    </rPh>
    <rPh sb="12" eb="14">
      <t>シュウセイ</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</si>
  <si>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</si>
  <si>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</si>
  <si>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</si>
  <si>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</si>
  <si>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</si>
  <si>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</si>
  <si>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</si>
  <si>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</si>
  <si>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</si>
  <si>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</si>
  <si>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</si>
  <si>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給湯器</t>
    <rPh sb="0" eb="3">
      <t>キュウトウキ</t>
    </rPh>
    <phoneticPr fontId="1"/>
  </si>
  <si>
    <t>セルの色付け修正</t>
    <rPh sb="3" eb="4">
      <t>イロ</t>
    </rPh>
    <rPh sb="4" eb="5">
      <t>ヅ</t>
    </rPh>
    <rPh sb="6" eb="8">
      <t>シュウセイ</t>
    </rPh>
    <phoneticPr fontId="1"/>
  </si>
  <si>
    <t>・１０戸未満　　 　　　　　同時使用水量＝42×（戸数）^0.33</t>
    <rPh sb="3" eb="4">
      <t>コ</t>
    </rPh>
    <rPh sb="4" eb="6">
      <t>ミマン</t>
    </rPh>
    <rPh sb="14" eb="16">
      <t>ドウジ</t>
    </rPh>
    <rPh sb="16" eb="18">
      <t>シヨウ</t>
    </rPh>
    <rPh sb="18" eb="20">
      <t>スイリョウ</t>
    </rPh>
    <rPh sb="25" eb="27">
      <t>コスウ</t>
    </rPh>
    <phoneticPr fontId="1"/>
  </si>
  <si>
    <t>前橋市給水装置工事設計施工指針より</t>
    <rPh sb="0" eb="3">
      <t>マエバシシ</t>
    </rPh>
    <rPh sb="3" eb="5">
      <t>キュウスイ</t>
    </rPh>
    <rPh sb="5" eb="7">
      <t>ソウチ</t>
    </rPh>
    <rPh sb="7" eb="9">
      <t>コウジ</t>
    </rPh>
    <rPh sb="9" eb="11">
      <t>セッケイ</t>
    </rPh>
    <rPh sb="11" eb="13">
      <t>セコウ</t>
    </rPh>
    <rPh sb="13" eb="15">
      <t>シシン</t>
    </rPh>
    <phoneticPr fontId="1"/>
  </si>
  <si>
    <t>　　種類別吐水量と対応する給水用具の口径</t>
    <rPh sb="2" eb="4">
      <t>シュルイ</t>
    </rPh>
    <rPh sb="4" eb="5">
      <t>ベツ</t>
    </rPh>
    <rPh sb="5" eb="6">
      <t>ト</t>
    </rPh>
    <rPh sb="6" eb="8">
      <t>スイリョウ</t>
    </rPh>
    <rPh sb="9" eb="11">
      <t>タイオウ</t>
    </rPh>
    <rPh sb="13" eb="15">
      <t>キュウスイ</t>
    </rPh>
    <rPh sb="15" eb="17">
      <t>ヨウグ</t>
    </rPh>
    <rPh sb="18" eb="20">
      <t>コウケイ</t>
    </rPh>
    <phoneticPr fontId="1"/>
  </si>
  <si>
    <t>　　　同時使用率を考慮した給水栓数</t>
    <rPh sb="3" eb="5">
      <t>ドウジ</t>
    </rPh>
    <rPh sb="5" eb="7">
      <t>シヨウ</t>
    </rPh>
    <rPh sb="7" eb="8">
      <t>リツ</t>
    </rPh>
    <rPh sb="9" eb="11">
      <t>コウリョ</t>
    </rPh>
    <rPh sb="13" eb="15">
      <t>キュウスイ</t>
    </rPh>
    <rPh sb="15" eb="16">
      <t>セン</t>
    </rPh>
    <rPh sb="16" eb="17">
      <t>スウ</t>
    </rPh>
    <phoneticPr fontId="1"/>
  </si>
  <si>
    <t>　　　戸数に対する総同時使用率</t>
    <rPh sb="3" eb="5">
      <t>コスウ</t>
    </rPh>
    <rPh sb="6" eb="7">
      <t>タイ</t>
    </rPh>
    <rPh sb="9" eb="10">
      <t>ソウ</t>
    </rPh>
    <rPh sb="10" eb="12">
      <t>ドウジ</t>
    </rPh>
    <rPh sb="12" eb="14">
      <t>シヨウ</t>
    </rPh>
    <rPh sb="14" eb="15">
      <t>リツ</t>
    </rPh>
    <phoneticPr fontId="1"/>
  </si>
  <si>
    <t>前橋市給水装置工事設計施工指針　第3章設計　参照</t>
    <rPh sb="16" eb="17">
      <t>ダイ</t>
    </rPh>
    <rPh sb="18" eb="19">
      <t>ショウ</t>
    </rPh>
    <rPh sb="19" eb="21">
      <t>セッケイ</t>
    </rPh>
    <rPh sb="22" eb="24">
      <t>サンショウ</t>
    </rPh>
    <phoneticPr fontId="1"/>
  </si>
  <si>
    <t>配水管の管径エラー修正</t>
    <rPh sb="0" eb="3">
      <t>ハイスイカン</t>
    </rPh>
    <rPh sb="4" eb="6">
      <t>カンケイ</t>
    </rPh>
    <rPh sb="9" eb="11">
      <t>シュウセイ</t>
    </rPh>
    <phoneticPr fontId="1"/>
  </si>
  <si>
    <t>更新日　2026/４/1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</si>
</sst>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9"/>
      <color indexed="81"/>
      <name val="ＭＳ Ｐゴシック"/>
      <family val="3"/>
      <charset val="128"/>
    </font>
    <font>
      <b/>
      <sz val="9"/>
      <color indexed="8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rgb="FFFF0000"/>
      <name val="ＭＳ Ｐゴシック"/>
      <family val="2"/>
      <charset val="128"/>
      <scheme val="minor"/>
    </font>
    <font>
      <i/>
      <sz val="11"/>
      <color theme="1"/>
      <name val="ＭＳ Ｐゴシック"/>
      <family val="3"/>
      <charset val="128"/>
      <scheme val="minor"/>
    </font>
    <font>
      <b/>
      <i/>
      <sz val="11"/>
      <color rgb="FFFF0000"/>
      <name val="ＭＳ Ｐゴシック"/>
      <family val="3"/>
      <charset val="128"/>
      <scheme val="minor"/>
    </font>
    <font>
      <i/>
      <sz val="12"/>
      <color theme="1"/>
      <name val="ＭＳ Ｐゴシック"/>
      <family val="3"/>
      <charset val="128"/>
      <scheme val="minor"/>
    </font>
    <font>
      <sz val="9"/>
      <color indexed="81"/>
      <name val="MS P ゴシック"/>
      <family val="3"/>
      <charset val="128"/>
    </font>
    <font>
      <b/>
      <sz val="9"/>
      <color indexed="81"/>
      <name val="MS P ゴシック"/>
      <family val="3"/>
      <charset val="128"/>
    </font>
    <font>
      <b/>
      <i/>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sz val="9"/>
      <color theme="4"/>
      <name val="ＭＳ Ｐゴシック"/>
      <family val="2"/>
      <charset val="128"/>
      <scheme val="minor"/>
    </font>
    <font>
      <sz val="9"/>
      <color theme="4"/>
      <name val="ＭＳ Ｐゴシック"/>
      <family val="3"/>
      <charset val="128"/>
      <scheme val="minor"/>
    </font>
    <font>
      <sz val="8"/>
      <color theme="3" tint="0.39997558519241921"/>
      <name val="ＭＳ Ｐゴシック"/>
      <family val="3"/>
      <charset val="128"/>
      <scheme val="minor"/>
    </font>
    <font>
      <sz val="9"/>
      <color theme="3" tint="0.39997558519241921"/>
      <name val="ＭＳ Ｐゴシック"/>
      <family val="3"/>
      <charset val="128"/>
      <scheme val="minor"/>
    </font>
    <font>
      <sz val="9"/>
      <color theme="3" tint="0.39997558519241921"/>
      <name val="ＭＳ Ｐゴシック"/>
      <family val="2"/>
      <charset val="128"/>
      <scheme val="minor"/>
    </font>
    <font>
      <sz val="8"/>
      <name val="ＭＳ Ｐゴシック"/>
      <family val="3"/>
      <charset val="128"/>
      <scheme val="minor"/>
    </font>
    <font>
      <b/>
      <sz val="11"/>
      <color rgb="FFFF0000"/>
      <name val="ＭＳ Ｐゴシック"/>
      <family val="3"/>
      <charset val="128"/>
      <scheme val="minor"/>
    </font>
    <font>
      <sz val="8"/>
      <name val="ＭＳ Ｐゴシック"/>
      <family val="2"/>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17">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1" xfId="0" applyFill="1" applyBorder="1">
      <alignment vertical="center"/>
    </xf>
    <xf numFmtId="0" fontId="0" fillId="2" borderId="1" xfId="0" applyFill="1" applyBorder="1">
      <alignment vertical="center"/>
    </xf>
    <xf numFmtId="0" fontId="0" fillId="0" borderId="0" xfId="0" applyFill="1" applyBorder="1" applyAlignment="1">
      <alignment horizontal="center" vertical="center"/>
    </xf>
    <xf numFmtId="0" fontId="0" fillId="3" borderId="1" xfId="0" applyFill="1" applyBorder="1">
      <alignment vertical="center"/>
    </xf>
    <xf numFmtId="0" fontId="0" fillId="0" borderId="0" xfId="0" applyAlignment="1">
      <alignment horizontal="right" vertical="center"/>
    </xf>
    <xf numFmtId="0" fontId="0" fillId="0" borderId="0" xfId="0" applyBorder="1">
      <alignment vertical="center"/>
    </xf>
    <xf numFmtId="0" fontId="0" fillId="2" borderId="1" xfId="0" applyFill="1" applyBorder="1" applyAlignment="1">
      <alignment horizontal="center" vertical="center"/>
    </xf>
    <xf numFmtId="0" fontId="0" fillId="0" borderId="0" xfId="0" applyFill="1" applyBorder="1">
      <alignment vertical="center"/>
    </xf>
    <xf numFmtId="0" fontId="0" fillId="0" borderId="0" xfId="0" applyAlignment="1">
      <alignment horizontal="center" vertical="center"/>
    </xf>
    <xf numFmtId="0" fontId="0" fillId="0" borderId="0" xfId="0" applyBorder="1" applyAlignment="1">
      <alignment horizontal="center" vertical="center"/>
    </xf>
    <xf numFmtId="0" fontId="4" fillId="0" borderId="1" xfId="0" applyFont="1" applyFill="1" applyBorder="1">
      <alignment vertical="center"/>
    </xf>
    <xf numFmtId="0" fontId="0" fillId="0" borderId="2" xfId="0" applyBorder="1">
      <alignment vertical="center"/>
    </xf>
    <xf numFmtId="0" fontId="0" fillId="0" borderId="3" xfId="0" applyFill="1" applyBorder="1">
      <alignment vertical="center"/>
    </xf>
    <xf numFmtId="0" fontId="0" fillId="0" borderId="3" xfId="0" applyBorder="1">
      <alignment vertical="center"/>
    </xf>
    <xf numFmtId="0" fontId="0" fillId="0" borderId="4" xfId="0" applyBorder="1">
      <alignment vertical="center"/>
    </xf>
    <xf numFmtId="0" fontId="3"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3" fillId="0" borderId="0" xfId="0" applyFont="1" applyBorder="1" applyAlignment="1">
      <alignment horizontal="left" vertical="center"/>
    </xf>
    <xf numFmtId="0" fontId="0" fillId="0" borderId="1" xfId="0" applyBorder="1" applyAlignment="1">
      <alignment horizontal="center" vertical="center"/>
    </xf>
    <xf numFmtId="0" fontId="0" fillId="0" borderId="0" xfId="0" applyFont="1" applyBorder="1" applyAlignment="1">
      <alignment horizontal="left" vertical="center"/>
    </xf>
    <xf numFmtId="1" fontId="0" fillId="0" borderId="0" xfId="0" applyNumberFormat="1" applyBorder="1">
      <alignment vertical="center"/>
    </xf>
    <xf numFmtId="0" fontId="0" fillId="0" borderId="6" xfId="0" applyBorder="1">
      <alignment vertical="center"/>
    </xf>
    <xf numFmtId="0" fontId="0" fillId="3" borderId="6" xfId="0" applyFill="1" applyBorder="1">
      <alignment vertical="center"/>
    </xf>
    <xf numFmtId="0" fontId="0" fillId="2" borderId="6" xfId="0" applyFill="1" applyBorder="1">
      <alignment vertical="center"/>
    </xf>
    <xf numFmtId="0" fontId="0" fillId="2" borderId="6" xfId="0" applyFill="1" applyBorder="1" applyAlignment="1">
      <alignment horizontal="right" vertical="center"/>
    </xf>
    <xf numFmtId="0" fontId="0" fillId="0" borderId="7" xfId="0" applyBorder="1">
      <alignment vertical="center"/>
    </xf>
    <xf numFmtId="0" fontId="0" fillId="2" borderId="15" xfId="0" applyFill="1" applyBorder="1">
      <alignment vertical="center"/>
    </xf>
    <xf numFmtId="0" fontId="0" fillId="0" borderId="15"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3" fillId="0" borderId="0" xfId="0" applyFont="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7" xfId="0" applyFill="1" applyBorder="1">
      <alignment vertical="center"/>
    </xf>
    <xf numFmtId="0" fontId="0" fillId="2" borderId="1" xfId="0" applyFill="1" applyBorder="1" applyAlignment="1">
      <alignment horizontal="right" vertical="center"/>
    </xf>
    <xf numFmtId="0" fontId="0" fillId="2" borderId="15" xfId="0" applyFill="1" applyBorder="1" applyAlignment="1">
      <alignment horizontal="right" vertical="center"/>
    </xf>
    <xf numFmtId="0" fontId="3" fillId="0" borderId="0" xfId="0" applyFont="1" applyBorder="1" applyAlignment="1">
      <alignment vertical="center"/>
    </xf>
    <xf numFmtId="0" fontId="7" fillId="0" borderId="0" xfId="0" applyFont="1" applyBorder="1" applyAlignment="1">
      <alignment horizontal="left" vertical="top" wrapText="1"/>
    </xf>
    <xf numFmtId="0" fontId="0" fillId="0" borderId="0" xfId="0" applyBorder="1" applyAlignment="1">
      <alignment horizontal="left" vertical="center"/>
    </xf>
    <xf numFmtId="0" fontId="10" fillId="0" borderId="0" xfId="0" applyFont="1" applyBorder="1" applyAlignment="1">
      <alignment vertical="center"/>
    </xf>
    <xf numFmtId="0" fontId="0" fillId="0" borderId="0" xfId="0" applyFill="1">
      <alignment vertical="center"/>
    </xf>
    <xf numFmtId="0" fontId="0" fillId="0" borderId="0" xfId="0"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3" fillId="0" borderId="0" xfId="0" applyFont="1" applyBorder="1" applyAlignment="1">
      <alignment horizontal="left" vertical="center"/>
    </xf>
    <xf numFmtId="0" fontId="0" fillId="0" borderId="0" xfId="0" applyAlignment="1">
      <alignment horizontal="center" vertical="center"/>
    </xf>
    <xf numFmtId="0" fontId="7" fillId="0" borderId="0" xfId="0" applyFont="1" applyBorder="1" applyAlignment="1">
      <alignment vertical="top" wrapText="1"/>
    </xf>
    <xf numFmtId="0" fontId="0" fillId="0" borderId="0" xfId="0" applyBorder="1" applyAlignment="1">
      <alignment horizontal="center" vertical="center"/>
    </xf>
    <xf numFmtId="0" fontId="4" fillId="4" borderId="2" xfId="0" applyFont="1" applyFill="1" applyBorder="1" applyAlignment="1">
      <alignment horizontal="center" vertical="center"/>
    </xf>
    <xf numFmtId="0" fontId="4" fillId="0" borderId="0" xfId="0" applyFont="1" applyBorder="1" applyAlignment="1">
      <alignment horizontal="left" vertical="center"/>
    </xf>
    <xf numFmtId="0" fontId="0" fillId="4" borderId="9" xfId="0" applyFont="1" applyFill="1" applyBorder="1" applyAlignment="1">
      <alignment horizontal="center" vertical="center"/>
    </xf>
    <xf numFmtId="0" fontId="0" fillId="4" borderId="1" xfId="0" applyFill="1" applyBorder="1">
      <alignment vertical="center"/>
    </xf>
    <xf numFmtId="0" fontId="4" fillId="2" borderId="9" xfId="0" applyFont="1" applyFill="1" applyBorder="1" applyAlignment="1">
      <alignment horizontal="center" vertical="center"/>
    </xf>
    <xf numFmtId="0" fontId="7" fillId="0" borderId="0" xfId="0" applyFont="1" applyBorder="1" applyAlignment="1">
      <alignment horizontal="center" vertical="top" wrapText="1"/>
    </xf>
    <xf numFmtId="0" fontId="11" fillId="0" borderId="0" xfId="0" applyFont="1" applyAlignment="1">
      <alignment horizontal="right" vertical="center"/>
    </xf>
    <xf numFmtId="0" fontId="11" fillId="0" borderId="0" xfId="0" applyFont="1">
      <alignment vertical="center"/>
    </xf>
    <xf numFmtId="0" fontId="12" fillId="4" borderId="1"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shrinkToFit="1"/>
    </xf>
    <xf numFmtId="0" fontId="0" fillId="0" borderId="24" xfId="0" applyBorder="1">
      <alignment vertical="center"/>
    </xf>
    <xf numFmtId="0" fontId="0" fillId="0" borderId="25" xfId="0" applyFill="1" applyBorder="1">
      <alignment vertical="center"/>
    </xf>
    <xf numFmtId="0" fontId="0" fillId="0" borderId="26" xfId="0" applyFill="1" applyBorder="1">
      <alignment vertical="center"/>
    </xf>
    <xf numFmtId="0" fontId="0" fillId="0" borderId="28" xfId="0" applyFill="1" applyBorder="1">
      <alignment vertical="center"/>
    </xf>
    <xf numFmtId="0" fontId="0" fillId="0" borderId="30" xfId="0" applyFill="1" applyBorder="1">
      <alignment vertical="center"/>
    </xf>
    <xf numFmtId="0" fontId="0" fillId="0" borderId="26" xfId="0" applyBorder="1">
      <alignment vertical="center"/>
    </xf>
    <xf numFmtId="0" fontId="0" fillId="2" borderId="27" xfId="0" applyFill="1" applyBorder="1">
      <alignment vertical="center"/>
    </xf>
    <xf numFmtId="0" fontId="0" fillId="0" borderId="32" xfId="0" applyBorder="1" applyAlignment="1">
      <alignment horizontal="center" vertical="center"/>
    </xf>
    <xf numFmtId="0" fontId="0" fillId="2" borderId="4" xfId="0" applyFill="1" applyBorder="1">
      <alignment vertical="center"/>
    </xf>
    <xf numFmtId="0" fontId="0" fillId="2" borderId="33" xfId="0" applyFill="1" applyBorder="1">
      <alignment vertical="center"/>
    </xf>
    <xf numFmtId="0" fontId="0" fillId="0" borderId="39" xfId="0" applyFill="1" applyBorder="1">
      <alignment vertical="center"/>
    </xf>
    <xf numFmtId="0" fontId="0" fillId="0" borderId="32" xfId="0" applyFill="1" applyBorder="1" applyAlignment="1">
      <alignment horizontal="center" vertical="center"/>
    </xf>
    <xf numFmtId="0" fontId="0" fillId="0" borderId="4" xfId="0" applyFill="1" applyBorder="1">
      <alignment vertical="center"/>
    </xf>
    <xf numFmtId="0" fontId="0" fillId="2" borderId="12" xfId="0" applyFill="1" applyBorder="1">
      <alignment vertical="center"/>
    </xf>
    <xf numFmtId="0" fontId="0" fillId="0" borderId="23" xfId="0" applyFill="1" applyBorder="1">
      <alignment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2" xfId="0" applyFill="1" applyBorder="1">
      <alignment vertical="center"/>
    </xf>
    <xf numFmtId="0" fontId="4" fillId="0" borderId="7" xfId="0" applyFont="1" applyFill="1" applyBorder="1">
      <alignment vertical="center"/>
    </xf>
    <xf numFmtId="0" fontId="0" fillId="0" borderId="34" xfId="0" applyFill="1" applyBorder="1" applyAlignment="1">
      <alignment horizontal="center" vertical="center"/>
    </xf>
    <xf numFmtId="0" fontId="0" fillId="0" borderId="10" xfId="0" applyFill="1" applyBorder="1">
      <alignment vertical="center"/>
    </xf>
    <xf numFmtId="0" fontId="4" fillId="0" borderId="6" xfId="0" applyFont="1" applyFill="1" applyBorder="1">
      <alignment vertical="center"/>
    </xf>
    <xf numFmtId="0" fontId="0" fillId="0" borderId="41" xfId="0" applyFill="1" applyBorder="1">
      <alignment vertical="center"/>
    </xf>
    <xf numFmtId="0" fontId="0" fillId="0" borderId="18" xfId="0" applyFill="1" applyBorder="1">
      <alignment vertical="center"/>
    </xf>
    <xf numFmtId="0" fontId="0" fillId="0" borderId="42" xfId="0" applyFill="1" applyBorder="1">
      <alignment vertical="center"/>
    </xf>
    <xf numFmtId="0" fontId="0" fillId="0" borderId="43" xfId="0" applyFill="1" applyBorder="1" applyAlignment="1">
      <alignment vertical="center" shrinkToFit="1"/>
    </xf>
    <xf numFmtId="0" fontId="0" fillId="0" borderId="0" xfId="0" applyFont="1" applyFill="1" applyBorder="1" applyAlignment="1">
      <alignment horizontal="center" vertical="center"/>
    </xf>
    <xf numFmtId="0" fontId="0" fillId="0" borderId="19" xfId="0" applyFont="1" applyBorder="1" applyAlignment="1">
      <alignment horizontal="center" vertical="center"/>
    </xf>
    <xf numFmtId="0" fontId="4" fillId="2" borderId="45" xfId="0" applyFont="1" applyFill="1" applyBorder="1" applyAlignment="1">
      <alignment horizontal="center" vertical="center"/>
    </xf>
    <xf numFmtId="0" fontId="0" fillId="0" borderId="46" xfId="0" applyFont="1" applyBorder="1" applyAlignment="1">
      <alignment horizontal="left" vertical="center"/>
    </xf>
    <xf numFmtId="0" fontId="0" fillId="0" borderId="24" xfId="0" applyBorder="1" applyAlignment="1">
      <alignment horizontal="center" vertical="center"/>
    </xf>
    <xf numFmtId="0" fontId="4" fillId="0" borderId="50" xfId="0" applyFont="1" applyBorder="1" applyAlignment="1">
      <alignment horizontal="left" vertical="center"/>
    </xf>
    <xf numFmtId="0" fontId="0" fillId="0" borderId="26" xfId="0" applyBorder="1" applyAlignment="1">
      <alignment horizontal="center" vertical="center"/>
    </xf>
    <xf numFmtId="0" fontId="0" fillId="2" borderId="51" xfId="0" applyFill="1" applyBorder="1" applyAlignment="1">
      <alignment horizontal="center" vertical="center"/>
    </xf>
    <xf numFmtId="0" fontId="0" fillId="0" borderId="52" xfId="0" applyBorder="1">
      <alignment vertical="center"/>
    </xf>
    <xf numFmtId="0" fontId="0" fillId="0" borderId="53" xfId="0" applyBorder="1">
      <alignment vertical="center"/>
    </xf>
    <xf numFmtId="0" fontId="0" fillId="4" borderId="54" xfId="0" applyFill="1" applyBorder="1">
      <alignment vertical="center"/>
    </xf>
    <xf numFmtId="0" fontId="0" fillId="0" borderId="55" xfId="0" applyBorder="1">
      <alignment vertical="center"/>
    </xf>
    <xf numFmtId="0" fontId="0" fillId="0" borderId="57" xfId="0" applyBorder="1" applyAlignment="1">
      <alignment vertical="center"/>
    </xf>
    <xf numFmtId="1" fontId="0" fillId="4" borderId="27" xfId="0" applyNumberFormat="1" applyFill="1" applyBorder="1">
      <alignment vertical="center"/>
    </xf>
    <xf numFmtId="0" fontId="0" fillId="0" borderId="28" xfId="0" applyBorder="1">
      <alignment vertical="center"/>
    </xf>
    <xf numFmtId="0" fontId="0" fillId="0" borderId="47" xfId="0" applyBorder="1">
      <alignment vertical="center"/>
    </xf>
    <xf numFmtId="0" fontId="0" fillId="4" borderId="27" xfId="0" applyFill="1" applyBorder="1">
      <alignment vertical="center"/>
    </xf>
    <xf numFmtId="0" fontId="0" fillId="0" borderId="58" xfId="0" applyBorder="1">
      <alignment vertical="center"/>
    </xf>
    <xf numFmtId="0" fontId="0" fillId="0" borderId="20" xfId="0" applyBorder="1" applyAlignment="1">
      <alignment horizontal="center" vertical="center" shrinkToFit="1"/>
    </xf>
    <xf numFmtId="0" fontId="0" fillId="2" borderId="24" xfId="0" applyFill="1" applyBorder="1" applyAlignment="1">
      <alignment horizontal="center" vertical="center"/>
    </xf>
    <xf numFmtId="0" fontId="0" fillId="4" borderId="25" xfId="0" applyFill="1" applyBorder="1">
      <alignment vertical="center"/>
    </xf>
    <xf numFmtId="0" fontId="0" fillId="2" borderId="47" xfId="0" applyFill="1" applyBorder="1" applyAlignment="1">
      <alignment horizontal="center" vertical="center"/>
    </xf>
    <xf numFmtId="0" fontId="0" fillId="4" borderId="28" xfId="0" applyFill="1" applyBorder="1">
      <alignment vertical="center"/>
    </xf>
    <xf numFmtId="0" fontId="0" fillId="0" borderId="32" xfId="0" applyBorder="1" applyAlignment="1">
      <alignment horizontal="center" vertical="center" shrinkToFit="1"/>
    </xf>
    <xf numFmtId="0" fontId="0" fillId="3" borderId="4" xfId="0" applyFill="1" applyBorder="1">
      <alignment vertical="center"/>
    </xf>
    <xf numFmtId="0" fontId="0" fillId="2" borderId="26" xfId="0" applyFill="1" applyBorder="1" applyAlignment="1">
      <alignment horizontal="center" vertical="center"/>
    </xf>
    <xf numFmtId="0" fontId="0" fillId="2" borderId="22" xfId="0" applyFill="1" applyBorder="1" applyAlignment="1">
      <alignment horizontal="center" vertical="center"/>
    </xf>
    <xf numFmtId="0" fontId="0" fillId="3" borderId="12" xfId="0" applyFill="1" applyBorder="1">
      <alignment vertical="center"/>
    </xf>
    <xf numFmtId="0" fontId="0" fillId="3" borderId="7" xfId="0" applyFill="1" applyBorder="1">
      <alignment vertical="center"/>
    </xf>
    <xf numFmtId="0" fontId="0" fillId="4" borderId="23" xfId="0" applyFill="1" applyBorder="1">
      <alignment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13" fillId="0" borderId="0" xfId="0" applyFont="1">
      <alignment vertical="center"/>
    </xf>
    <xf numFmtId="0" fontId="13" fillId="0" borderId="0" xfId="0" applyFont="1" applyBorder="1">
      <alignment vertical="center"/>
    </xf>
    <xf numFmtId="0" fontId="13" fillId="0" borderId="0" xfId="0" applyFont="1" applyAlignment="1">
      <alignment vertical="center"/>
    </xf>
    <xf numFmtId="0" fontId="13" fillId="0" borderId="0" xfId="0" applyFont="1" applyFill="1" applyBorder="1">
      <alignment vertical="center"/>
    </xf>
    <xf numFmtId="0" fontId="13" fillId="0" borderId="0" xfId="0" applyFont="1" applyFill="1" applyBorder="1" applyAlignment="1">
      <alignment vertical="center"/>
    </xf>
    <xf numFmtId="0" fontId="0" fillId="2" borderId="24" xfId="0" applyFill="1" applyBorder="1">
      <alignment vertical="center"/>
    </xf>
    <xf numFmtId="0" fontId="0" fillId="2" borderId="63" xfId="0" applyFill="1" applyBorder="1" applyAlignment="1">
      <alignment horizontal="center" vertical="center"/>
    </xf>
    <xf numFmtId="0" fontId="0" fillId="2" borderId="25" xfId="0" applyFill="1" applyBorder="1">
      <alignment vertical="center"/>
    </xf>
    <xf numFmtId="0" fontId="0" fillId="0" borderId="51" xfId="0" applyBorder="1" applyAlignment="1">
      <alignment vertical="center"/>
    </xf>
    <xf numFmtId="0" fontId="0" fillId="0" borderId="59" xfId="0" applyBorder="1" applyAlignment="1">
      <alignment vertical="center"/>
    </xf>
    <xf numFmtId="0" fontId="0" fillId="0" borderId="33" xfId="0" applyBorder="1" applyAlignment="1">
      <alignment vertical="center"/>
    </xf>
    <xf numFmtId="0" fontId="0" fillId="0" borderId="34" xfId="0" applyBorder="1" applyAlignment="1">
      <alignment horizontal="center" vertical="center" shrinkToFit="1"/>
    </xf>
    <xf numFmtId="0" fontId="12" fillId="0" borderId="0" xfId="0" applyFont="1" applyAlignment="1">
      <alignment horizontal="right" vertical="center"/>
    </xf>
    <xf numFmtId="0" fontId="12" fillId="0" borderId="0" xfId="0" applyFont="1">
      <alignment vertical="center"/>
    </xf>
    <xf numFmtId="0" fontId="4" fillId="0" borderId="47" xfId="0" applyFont="1" applyBorder="1" applyAlignment="1">
      <alignment horizontal="center" vertical="center"/>
    </xf>
    <xf numFmtId="0" fontId="4" fillId="0" borderId="48" xfId="0" applyFont="1" applyBorder="1" applyAlignment="1">
      <alignment horizontal="left" vertical="center"/>
    </xf>
    <xf numFmtId="0" fontId="11" fillId="0" borderId="0" xfId="0" applyFont="1" applyAlignment="1">
      <alignment vertical="center" shrinkToFit="1"/>
    </xf>
    <xf numFmtId="0" fontId="10" fillId="0" borderId="0" xfId="0" applyFont="1">
      <alignment vertical="center"/>
    </xf>
    <xf numFmtId="0" fontId="7" fillId="0" borderId="0" xfId="0" applyFont="1">
      <alignment vertical="center"/>
    </xf>
    <xf numFmtId="0" fontId="0" fillId="4" borderId="64" xfId="0" applyFill="1" applyBorder="1">
      <alignment vertical="center"/>
    </xf>
    <xf numFmtId="0" fontId="0" fillId="0" borderId="32" xfId="0" applyBorder="1" applyAlignment="1">
      <alignment horizontal="center" vertical="center" shrinkToFit="1"/>
    </xf>
    <xf numFmtId="0" fontId="0" fillId="0" borderId="34" xfId="0" applyBorder="1" applyAlignment="1">
      <alignment horizontal="center" vertical="center" shrinkToFit="1"/>
    </xf>
    <xf numFmtId="0" fontId="0" fillId="0" borderId="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shrinkToFit="1"/>
    </xf>
    <xf numFmtId="0" fontId="3" fillId="0" borderId="0" xfId="0" applyFont="1" applyBorder="1" applyAlignment="1">
      <alignment horizontal="left" vertical="center"/>
    </xf>
    <xf numFmtId="0" fontId="7" fillId="0" borderId="56" xfId="0" applyFont="1" applyBorder="1">
      <alignment vertical="center"/>
    </xf>
    <xf numFmtId="0" fontId="7" fillId="0" borderId="25" xfId="0" applyFont="1" applyBorder="1">
      <alignment vertical="center"/>
    </xf>
    <xf numFmtId="0" fontId="0" fillId="4" borderId="31" xfId="0" applyFill="1" applyBorder="1">
      <alignment vertical="center"/>
    </xf>
    <xf numFmtId="0" fontId="0" fillId="4" borderId="65" xfId="0" applyFill="1" applyBorder="1">
      <alignment vertical="center"/>
    </xf>
    <xf numFmtId="0" fontId="0" fillId="4" borderId="34" xfId="0" applyFill="1" applyBorder="1">
      <alignment vertical="center"/>
    </xf>
    <xf numFmtId="0" fontId="0" fillId="4" borderId="42" xfId="0" applyFill="1" applyBorder="1">
      <alignment vertical="center"/>
    </xf>
    <xf numFmtId="0" fontId="12" fillId="4" borderId="0" xfId="0" applyFont="1" applyFill="1" applyAlignment="1">
      <alignment horizontal="center" vertical="center"/>
    </xf>
    <xf numFmtId="0" fontId="0" fillId="0" borderId="36" xfId="0"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0" fontId="0" fillId="0" borderId="40" xfId="0" applyBorder="1" applyAlignment="1">
      <alignment vertical="center" shrinkToFit="1"/>
    </xf>
    <xf numFmtId="0" fontId="11" fillId="0" borderId="0" xfId="0" applyFont="1" applyAlignment="1">
      <alignment horizontal="right" vertical="center" shrinkToFit="1"/>
    </xf>
    <xf numFmtId="0" fontId="0" fillId="0" borderId="0" xfId="0" applyAlignment="1">
      <alignment vertical="center" shrinkToFit="1"/>
    </xf>
    <xf numFmtId="0" fontId="12" fillId="0" borderId="1"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1" xfId="0" applyFont="1" applyBorder="1" applyAlignment="1">
      <alignment vertical="center"/>
    </xf>
    <xf numFmtId="0" fontId="12" fillId="0" borderId="0" xfId="0" applyFont="1" applyBorder="1" applyAlignment="1">
      <alignment horizontal="left" vertical="center"/>
    </xf>
    <xf numFmtId="0" fontId="16" fillId="0" borderId="0" xfId="0" applyFont="1" applyBorder="1" applyAlignment="1">
      <alignment horizontal="left" vertical="center"/>
    </xf>
    <xf numFmtId="0" fontId="0" fillId="0" borderId="48" xfId="0" applyFont="1" applyBorder="1" applyAlignment="1">
      <alignment vertical="center"/>
    </xf>
    <xf numFmtId="0" fontId="0" fillId="0" borderId="22" xfId="0" applyBorder="1">
      <alignment vertical="center"/>
    </xf>
    <xf numFmtId="0" fontId="0" fillId="4" borderId="66" xfId="0" applyFill="1" applyBorder="1">
      <alignment vertical="center"/>
    </xf>
    <xf numFmtId="0" fontId="9" fillId="0" borderId="0" xfId="0" applyFont="1">
      <alignment vertical="center"/>
    </xf>
    <xf numFmtId="0" fontId="0" fillId="0" borderId="47" xfId="0" applyFont="1" applyBorder="1" applyAlignment="1">
      <alignment horizontal="center" vertical="center" wrapText="1"/>
    </xf>
    <xf numFmtId="0" fontId="4" fillId="0" borderId="0" xfId="0" applyFont="1" applyBorder="1" applyAlignment="1">
      <alignment vertical="center"/>
    </xf>
    <xf numFmtId="0" fontId="0" fillId="0" borderId="67" xfId="0" applyFont="1" applyBorder="1" applyAlignment="1">
      <alignment horizontal="center" vertical="center" shrinkToFit="1"/>
    </xf>
    <xf numFmtId="0" fontId="0" fillId="0" borderId="49" xfId="0" applyFont="1" applyBorder="1" applyAlignment="1">
      <alignment horizontal="left" vertical="center"/>
    </xf>
    <xf numFmtId="0" fontId="0" fillId="0" borderId="53" xfId="0" applyFont="1" applyBorder="1" applyAlignment="1">
      <alignment horizontal="center" vertical="center" shrinkToFit="1"/>
    </xf>
    <xf numFmtId="0" fontId="4" fillId="2" borderId="68" xfId="0" applyFont="1" applyFill="1" applyBorder="1" applyAlignment="1">
      <alignment horizontal="center" vertical="center"/>
    </xf>
    <xf numFmtId="0" fontId="0" fillId="0" borderId="24" xfId="0" applyFont="1" applyBorder="1" applyAlignment="1">
      <alignment horizontal="center" vertical="center" shrinkToFit="1"/>
    </xf>
    <xf numFmtId="0" fontId="4" fillId="4" borderId="8" xfId="0" applyFont="1" applyFill="1" applyBorder="1" applyAlignment="1">
      <alignment horizontal="center" vertical="center"/>
    </xf>
    <xf numFmtId="0" fontId="0" fillId="0" borderId="56" xfId="0" applyFont="1" applyBorder="1" applyAlignment="1">
      <alignment horizontal="left" vertical="center"/>
    </xf>
    <xf numFmtId="0" fontId="0" fillId="0" borderId="24" xfId="0" applyFont="1" applyBorder="1" applyAlignment="1">
      <alignment horizontal="center" vertical="center"/>
    </xf>
    <xf numFmtId="0" fontId="0" fillId="0" borderId="50" xfId="0" applyFont="1" applyBorder="1" applyAlignment="1">
      <alignment horizontal="left" vertical="center"/>
    </xf>
    <xf numFmtId="0" fontId="0" fillId="0" borderId="0" xfId="0" applyBorder="1" applyAlignment="1">
      <alignment horizontal="center" vertical="center"/>
    </xf>
    <xf numFmtId="0" fontId="19" fillId="0" borderId="0" xfId="0" applyFont="1">
      <alignment vertical="center"/>
    </xf>
    <xf numFmtId="0" fontId="19" fillId="0" borderId="0" xfId="0" applyFont="1" applyBorder="1" applyAlignment="1">
      <alignment horizontal="left" vertical="center"/>
    </xf>
    <xf numFmtId="0" fontId="20" fillId="0" borderId="0" xfId="0" applyFont="1">
      <alignment vertical="center"/>
    </xf>
    <xf numFmtId="0" fontId="0" fillId="0" borderId="0" xfId="0" applyBorder="1" applyAlignment="1">
      <alignment vertical="center"/>
    </xf>
    <xf numFmtId="0" fontId="12" fillId="2" borderId="1" xfId="0" applyFont="1" applyFill="1" applyBorder="1" applyAlignment="1">
      <alignment horizontal="center" vertical="center"/>
    </xf>
    <xf numFmtId="0" fontId="22" fillId="0" borderId="0" xfId="0" applyFont="1" applyFill="1">
      <alignment vertical="center"/>
    </xf>
    <xf numFmtId="0" fontId="22" fillId="2" borderId="0" xfId="0" applyFont="1" applyFill="1" applyAlignment="1">
      <alignment horizontal="center" vertical="center"/>
    </xf>
    <xf numFmtId="0" fontId="22" fillId="0" borderId="0" xfId="0" applyFont="1">
      <alignment vertical="center"/>
    </xf>
    <xf numFmtId="0" fontId="21" fillId="2" borderId="0" xfId="0" applyFont="1" applyFill="1" applyAlignment="1">
      <alignment horizontal="center" vertical="center"/>
    </xf>
    <xf numFmtId="0" fontId="23" fillId="0" borderId="0" xfId="0" applyFont="1" applyFill="1" applyBorder="1" applyAlignment="1">
      <alignment horizontal="left" vertical="center"/>
    </xf>
    <xf numFmtId="0" fontId="23" fillId="0" borderId="0" xfId="0" applyFont="1">
      <alignment vertical="center"/>
    </xf>
    <xf numFmtId="0" fontId="22" fillId="0" borderId="0" xfId="0" applyFont="1" applyBorder="1" applyAlignment="1">
      <alignment horizontal="left" vertical="center"/>
    </xf>
    <xf numFmtId="0" fontId="22" fillId="0" borderId="0" xfId="0" applyFont="1" applyFill="1" applyBorder="1" applyAlignment="1">
      <alignment horizontal="left" vertical="center"/>
    </xf>
    <xf numFmtId="0" fontId="0" fillId="0" borderId="32" xfId="0" applyBorder="1" applyAlignment="1">
      <alignment horizontal="center" vertical="center" shrinkToFit="1"/>
    </xf>
    <xf numFmtId="0" fontId="0" fillId="0" borderId="34" xfId="0" applyBorder="1" applyAlignment="1">
      <alignment horizontal="center" vertical="center" shrinkToFit="1"/>
    </xf>
    <xf numFmtId="0" fontId="0" fillId="0" borderId="4" xfId="0" applyBorder="1" applyAlignment="1">
      <alignment horizontal="center" vertical="center"/>
    </xf>
    <xf numFmtId="0" fontId="0" fillId="0" borderId="32" xfId="0" applyBorder="1" applyAlignment="1">
      <alignment horizontal="center" vertical="center" shrinkToFit="1"/>
    </xf>
    <xf numFmtId="0" fontId="0" fillId="0" borderId="34" xfId="0" applyBorder="1" applyAlignment="1">
      <alignment horizontal="center" vertical="center" shrinkToFit="1"/>
    </xf>
    <xf numFmtId="0" fontId="0" fillId="4" borderId="12" xfId="0" applyFill="1" applyBorder="1">
      <alignment vertical="center"/>
    </xf>
    <xf numFmtId="0" fontId="0" fillId="4" borderId="53" xfId="0" applyFill="1" applyBorder="1">
      <alignment vertical="center"/>
    </xf>
    <xf numFmtId="0" fontId="0" fillId="4" borderId="69" xfId="0" applyFill="1" applyBorder="1">
      <alignment vertical="center"/>
    </xf>
    <xf numFmtId="0" fontId="0" fillId="0" borderId="58" xfId="0" applyFill="1" applyBorder="1">
      <alignment vertical="center"/>
    </xf>
    <xf numFmtId="0" fontId="0" fillId="4" borderId="22" xfId="0" applyFill="1" applyBorder="1">
      <alignment vertical="center"/>
    </xf>
    <xf numFmtId="0" fontId="0" fillId="4" borderId="29" xfId="0" applyFill="1" applyBorder="1">
      <alignment vertical="center"/>
    </xf>
    <xf numFmtId="0" fontId="4" fillId="4" borderId="45" xfId="0" applyFont="1" applyFill="1" applyBorder="1" applyAlignment="1">
      <alignment horizontal="center" vertical="center"/>
    </xf>
    <xf numFmtId="0" fontId="0" fillId="4" borderId="51" xfId="0" applyFill="1" applyBorder="1" applyAlignment="1">
      <alignment horizontal="center" vertical="center"/>
    </xf>
    <xf numFmtId="0" fontId="0" fillId="4" borderId="6" xfId="0" applyFill="1" applyBorder="1">
      <alignment vertical="center"/>
    </xf>
    <xf numFmtId="0" fontId="0" fillId="4" borderId="22" xfId="0" applyFill="1" applyBorder="1" applyAlignment="1">
      <alignment horizontal="center" vertical="center"/>
    </xf>
    <xf numFmtId="0" fontId="0" fillId="4" borderId="7" xfId="0" applyFill="1" applyBorder="1">
      <alignment vertical="center"/>
    </xf>
    <xf numFmtId="0" fontId="0" fillId="4" borderId="29" xfId="0" applyFill="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left" vertical="center"/>
    </xf>
    <xf numFmtId="0" fontId="4" fillId="4" borderId="9" xfId="0" applyFont="1" applyFill="1" applyBorder="1" applyAlignment="1">
      <alignment horizontal="center" vertical="center"/>
    </xf>
    <xf numFmtId="0" fontId="0" fillId="4" borderId="53" xfId="0" applyFill="1" applyBorder="1" applyAlignment="1">
      <alignment horizontal="center" vertical="center"/>
    </xf>
    <xf numFmtId="0" fontId="0" fillId="4" borderId="49" xfId="0" applyFill="1" applyBorder="1">
      <alignment vertical="center"/>
    </xf>
    <xf numFmtId="0" fontId="0" fillId="4" borderId="50" xfId="0" applyFill="1" applyBorder="1">
      <alignment vertical="center"/>
    </xf>
    <xf numFmtId="0" fontId="0" fillId="0" borderId="54" xfId="0" applyBorder="1">
      <alignment vertical="center"/>
    </xf>
    <xf numFmtId="0" fontId="0" fillId="0" borderId="70" xfId="0" applyBorder="1" applyAlignment="1">
      <alignment vertical="center" shrinkToFit="1"/>
    </xf>
    <xf numFmtId="0" fontId="0" fillId="4" borderId="5" xfId="0" applyFill="1" applyBorder="1">
      <alignment vertical="center"/>
    </xf>
    <xf numFmtId="0" fontId="0" fillId="0" borderId="43" xfId="0" applyFill="1" applyBorder="1">
      <alignment vertical="center"/>
    </xf>
    <xf numFmtId="0" fontId="0" fillId="4" borderId="44" xfId="0" applyFill="1"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25" fillId="4" borderId="2" xfId="0" applyFont="1" applyFill="1" applyBorder="1" applyAlignment="1">
      <alignment horizontal="center" vertical="center"/>
    </xf>
    <xf numFmtId="0" fontId="0" fillId="0" borderId="0" xfId="0" applyAlignment="1">
      <alignment vertical="center"/>
    </xf>
    <xf numFmtId="0" fontId="27" fillId="0" borderId="47" xfId="0" applyFont="1" applyBorder="1" applyAlignment="1">
      <alignment horizontal="center" vertical="center" wrapText="1"/>
    </xf>
    <xf numFmtId="0" fontId="25" fillId="4" borderId="9" xfId="0" applyFont="1" applyFill="1" applyBorder="1" applyAlignment="1">
      <alignment horizontal="center" vertical="center"/>
    </xf>
    <xf numFmtId="0" fontId="27" fillId="0" borderId="48" xfId="0" applyFont="1" applyBorder="1" applyAlignment="1">
      <alignment vertical="center"/>
    </xf>
    <xf numFmtId="0" fontId="3" fillId="4" borderId="44" xfId="0" applyFont="1" applyFill="1" applyBorder="1">
      <alignment vertical="center"/>
    </xf>
    <xf numFmtId="57" fontId="0" fillId="0" borderId="1" xfId="0" applyNumberFormat="1" applyBorder="1" applyAlignment="1">
      <alignment horizontal="center" vertical="center"/>
    </xf>
    <xf numFmtId="0" fontId="0" fillId="0" borderId="1" xfId="0" applyBorder="1" applyAlignment="1">
      <alignment horizontal="center" vertical="center"/>
    </xf>
    <xf numFmtId="0" fontId="0" fillId="4" borderId="15" xfId="0" applyFill="1" applyBorder="1">
      <alignment vertical="center"/>
    </xf>
    <xf numFmtId="0" fontId="0" fillId="0" borderId="7" xfId="0" applyFill="1" applyBorder="1">
      <alignment vertical="center"/>
    </xf>
    <xf numFmtId="0" fontId="0" fillId="0" borderId="71" xfId="0" applyFill="1" applyBorder="1">
      <alignment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60" xfId="0" applyBorder="1" applyAlignment="1">
      <alignment horizontal="center" vertical="center"/>
    </xf>
    <xf numFmtId="0" fontId="0" fillId="0" borderId="13" xfId="0" applyBorder="1" applyAlignment="1">
      <alignment horizontal="center" vertical="center"/>
    </xf>
    <xf numFmtId="0" fontId="0" fillId="0" borderId="59" xfId="0" applyBorder="1" applyAlignment="1">
      <alignment horizontal="center" vertical="center"/>
    </xf>
    <xf numFmtId="0" fontId="0" fillId="0" borderId="33" xfId="0" applyBorder="1" applyAlignment="1">
      <alignment horizontal="center" vertical="center"/>
    </xf>
    <xf numFmtId="0" fontId="0" fillId="0" borderId="45" xfId="0" applyBorder="1" applyAlignment="1">
      <alignment horizontal="center" vertical="center" shrinkToFit="1"/>
    </xf>
    <xf numFmtId="0" fontId="0" fillId="0" borderId="32" xfId="0" applyBorder="1" applyAlignment="1">
      <alignment horizontal="center" vertical="center" shrinkToFit="1"/>
    </xf>
    <xf numFmtId="0" fontId="0" fillId="0" borderId="61" xfId="0" applyBorder="1" applyAlignment="1">
      <alignment horizontal="center" vertical="center" shrinkToFit="1"/>
    </xf>
    <xf numFmtId="0" fontId="0" fillId="0" borderId="34" xfId="0" applyBorder="1" applyAlignment="1">
      <alignment horizontal="center" vertical="center" shrinkToFi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1" xfId="0" applyBorder="1" applyAlignment="1">
      <alignment horizontal="center" vertical="center" shrinkToFit="1"/>
    </xf>
    <xf numFmtId="0" fontId="0" fillId="0" borderId="49" xfId="0"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55" xfId="0" applyBorder="1" applyAlignment="1">
      <alignment horizontal="center" vertical="center" shrinkToFit="1"/>
    </xf>
    <xf numFmtId="0" fontId="0" fillId="0" borderId="62" xfId="0" applyBorder="1" applyAlignment="1">
      <alignment horizontal="center" vertical="center" shrinkToFit="1"/>
    </xf>
    <xf numFmtId="0" fontId="0" fillId="0" borderId="11" xfId="0" applyBorder="1" applyAlignment="1">
      <alignment horizontal="center" vertical="center"/>
    </xf>
    <xf numFmtId="0" fontId="0" fillId="0" borderId="49" xfId="0" applyBorder="1" applyAlignment="1">
      <alignment horizontal="center" vertical="center"/>
    </xf>
    <xf numFmtId="0" fontId="0" fillId="0" borderId="2" xfId="0" applyBorder="1" applyAlignment="1">
      <alignment horizontal="center" vertical="center"/>
    </xf>
    <xf numFmtId="0" fontId="0" fillId="0" borderId="50" xfId="0"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3" fillId="0" borderId="0" xfId="0" applyFont="1" applyAlignment="1">
      <alignment horizontal="left" vertical="center"/>
    </xf>
    <xf numFmtId="0" fontId="7" fillId="0" borderId="13" xfId="0" applyFont="1" applyBorder="1" applyAlignment="1">
      <alignment horizontal="center" vertical="center"/>
    </xf>
    <xf numFmtId="0" fontId="0" fillId="2" borderId="13" xfId="0" applyFill="1" applyBorder="1" applyAlignment="1">
      <alignment horizontal="center" vertical="center"/>
    </xf>
    <xf numFmtId="0" fontId="7" fillId="0" borderId="14" xfId="0" applyFont="1" applyBorder="1" applyAlignment="1">
      <alignment horizontal="center" vertical="center"/>
    </xf>
    <xf numFmtId="0" fontId="8" fillId="0" borderId="14" xfId="0" applyFont="1" applyBorder="1" applyAlignment="1">
      <alignment horizontal="center" vertical="center"/>
    </xf>
    <xf numFmtId="0" fontId="0" fillId="2" borderId="14" xfId="0" applyFill="1" applyBorder="1" applyAlignment="1">
      <alignment horizontal="center" vertical="center"/>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0" fillId="2" borderId="2" xfId="0" applyNumberFormat="1" applyFill="1" applyBorder="1" applyAlignment="1">
      <alignment horizontal="center" vertical="center" shrinkToFit="1"/>
    </xf>
    <xf numFmtId="0" fontId="0" fillId="2" borderId="4" xfId="0" applyNumberFormat="1" applyFill="1" applyBorder="1" applyAlignment="1">
      <alignment horizontal="center" vertical="center" shrinkToFit="1"/>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24" fillId="0" borderId="9"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0" borderId="72" xfId="0" applyBorder="1" applyAlignment="1">
      <alignment horizontal="center" vertical="center"/>
    </xf>
    <xf numFmtId="0" fontId="26"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 fillId="4" borderId="73" xfId="0" applyFont="1" applyFill="1" applyBorder="1" applyAlignment="1">
      <alignment horizontal="center" vertical="center"/>
    </xf>
    <xf numFmtId="0" fontId="3" fillId="4" borderId="74" xfId="0" applyFont="1" applyFill="1" applyBorder="1" applyAlignment="1">
      <alignment horizontal="center" vertical="center"/>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24"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5" xfId="0" applyBorder="1" applyAlignment="1">
      <alignment horizontal="center" vertical="center"/>
    </xf>
    <xf numFmtId="0" fontId="0" fillId="2" borderId="16" xfId="0" applyFill="1" applyBorder="1" applyAlignment="1">
      <alignment horizontal="center" vertical="center" shrinkToFit="1"/>
    </xf>
    <xf numFmtId="0" fontId="0" fillId="2" borderId="17" xfId="0" applyFill="1" applyBorder="1" applyAlignment="1">
      <alignment horizontal="center" vertical="center" shrinkToFit="1"/>
    </xf>
    <xf numFmtId="0" fontId="4" fillId="0" borderId="72" xfId="0" applyFont="1" applyBorder="1" applyAlignment="1">
      <alignment horizontal="center" vertical="center"/>
    </xf>
    <xf numFmtId="0" fontId="18" fillId="0" borderId="0" xfId="0" applyFont="1" applyBorder="1" applyAlignment="1">
      <alignment horizontal="center" vertical="center"/>
    </xf>
    <xf numFmtId="0" fontId="0" fillId="0" borderId="68" xfId="0" applyBorder="1" applyAlignment="1">
      <alignment horizontal="center" vertical="center"/>
    </xf>
    <xf numFmtId="0" fontId="0" fillId="0" borderId="46"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5">
    <dxf>
      <fill>
        <patternFill>
          <bgColor theme="0"/>
        </patternFill>
      </fill>
    </dxf>
    <dxf>
      <fill>
        <patternFill>
          <bgColor theme="0"/>
        </patternFill>
      </fill>
    </dxf>
    <dxf>
      <fill>
        <patternFill>
          <bgColor theme="4" tint="0.59996337778862885"/>
        </patternFill>
      </fill>
    </dxf>
    <dxf>
      <fill>
        <patternFill>
          <bgColor theme="0"/>
        </patternFill>
      </fill>
    </dxf>
    <dxf>
      <fill>
        <patternFill>
          <bgColor theme="4" tint="0.59996337778862885"/>
        </patternFill>
      </fill>
    </dxf>
  </dxfs>
  <tableStyles count="0" defaultTableStyle="TableStyleMedium2" defaultPivotStyle="PivotStyleLight16"/>
  <colors>
    <mruColors>
      <color rgb="FF99CCFF"/>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98</xdr:row>
      <xdr:rowOff>161925</xdr:rowOff>
    </xdr:from>
    <xdr:ext cx="6188710" cy="1327150"/>
    <xdr:pic>
      <xdr:nvPicPr>
        <xdr:cNvPr id="2" name="図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6375" y="16678275"/>
          <a:ext cx="6188710" cy="1327150"/>
        </a:xfrm>
        <a:prstGeom prst="rect">
          <a:avLst/>
        </a:prstGeom>
        <a:noFill/>
        <a:ln>
          <a:noFill/>
        </a:ln>
      </xdr:spPr>
    </xdr:pic>
    <xdr:clientData/>
  </xdr:oneCellAnchor>
  <xdr:oneCellAnchor>
    <xdr:from>
      <xdr:col>0</xdr:col>
      <xdr:colOff>57151</xdr:colOff>
      <xdr:row>66</xdr:row>
      <xdr:rowOff>142874</xdr:rowOff>
    </xdr:from>
    <xdr:ext cx="2895600" cy="581026"/>
    <mc:AlternateContent xmlns:mc="http://schemas.openxmlformats.org/markup-compatibility/2006" xmlns:a14="http://schemas.microsoft.com/office/drawing/2010/main">
      <mc:Choice Requires="a14">
        <xdr:sp macro="" textlink="">
          <xdr:nvSpPr>
            <xdr:cNvPr id="3" name="テキスト ボックス 2"/>
            <xdr:cNvSpPr txBox="1"/>
          </xdr:nvSpPr>
          <xdr:spPr>
            <a:xfrm>
              <a:off x="9496426" y="11163299"/>
              <a:ext cx="2895600"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a:rPr>
                      <m:t>h</m:t>
                    </m:r>
                    <m:r>
                      <a:rPr kumimoji="1" lang="ja-JP" altLang="en-US" sz="1100" i="1">
                        <a:latin typeface="Cambria Math"/>
                      </a:rPr>
                      <m:t>＝</m:t>
                    </m:r>
                    <m:r>
                      <a:rPr kumimoji="1" lang="en-US" altLang="ja-JP" sz="1100" b="0" i="1">
                        <a:latin typeface="Cambria Math"/>
                      </a:rPr>
                      <m:t>(</m:t>
                    </m:r>
                    <m:r>
                      <a:rPr kumimoji="1" lang="en-US" altLang="ja-JP" sz="1100" i="1">
                        <a:latin typeface="Cambria Math"/>
                      </a:rPr>
                      <m:t>0.0126</m:t>
                    </m:r>
                    <m:r>
                      <a:rPr kumimoji="1" lang="ja-JP" altLang="en-US" sz="1100" i="1">
                        <a:latin typeface="Cambria Math"/>
                      </a:rPr>
                      <m:t>＋</m:t>
                    </m:r>
                    <m:f>
                      <m:fPr>
                        <m:ctrlPr>
                          <a:rPr kumimoji="1" lang="ja-JP" altLang="en-US" sz="1100" i="1">
                            <a:latin typeface="Cambria Math" panose="02040503050406030204" pitchFamily="18" charset="0"/>
                          </a:rPr>
                        </m:ctrlPr>
                      </m:fPr>
                      <m:num>
                        <m:r>
                          <a:rPr kumimoji="1" lang="en-US" altLang="ja-JP" sz="1100" i="1">
                            <a:latin typeface="Cambria Math"/>
                          </a:rPr>
                          <m:t>0.01739−0.1087</m:t>
                        </m:r>
                        <m:r>
                          <a:rPr kumimoji="1" lang="ja-JP" altLang="en-US" sz="1100" i="1">
                            <a:latin typeface="Cambria Math"/>
                          </a:rPr>
                          <m:t>𝐷</m:t>
                        </m:r>
                      </m:num>
                      <m:den>
                        <m:rad>
                          <m:radPr>
                            <m:degHide m:val="on"/>
                            <m:ctrlPr>
                              <a:rPr kumimoji="1" lang="ja-JP" altLang="en-US" sz="1100" i="1">
                                <a:latin typeface="Cambria Math" panose="02040503050406030204" pitchFamily="18" charset="0"/>
                              </a:rPr>
                            </m:ctrlPr>
                          </m:radPr>
                          <m:deg/>
                          <m:e>
                            <m:r>
                              <a:rPr kumimoji="1" lang="en-US" altLang="ja-JP" sz="1100" b="0" i="1">
                                <a:latin typeface="Cambria Math"/>
                              </a:rPr>
                              <m:t>𝑉</m:t>
                            </m:r>
                          </m:e>
                        </m:rad>
                      </m:den>
                    </m:f>
                    <m:r>
                      <a:rPr kumimoji="1" lang="en-US" altLang="ja-JP" sz="1100" b="0" i="1">
                        <a:latin typeface="Cambria Math"/>
                      </a:rPr>
                      <m:t>)</m:t>
                    </m:r>
                    <m:r>
                      <a:rPr kumimoji="1" lang="en-US" altLang="ja-JP" sz="1100" i="1">
                        <a:latin typeface="Cambria Math"/>
                      </a:rPr>
                      <m:t>×</m:t>
                    </m:r>
                    <m:f>
                      <m:fPr>
                        <m:ctrlPr>
                          <a:rPr kumimoji="1" lang="ja-JP" altLang="en-US" sz="1100" i="1">
                            <a:latin typeface="Cambria Math" panose="02040503050406030204" pitchFamily="18" charset="0"/>
                          </a:rPr>
                        </m:ctrlPr>
                      </m:fPr>
                      <m:num>
                        <m:r>
                          <a:rPr kumimoji="1" lang="ja-JP" altLang="en-US" sz="1100" i="1">
                            <a:latin typeface="Cambria Math"/>
                          </a:rPr>
                          <m:t>𝐿</m:t>
                        </m:r>
                      </m:num>
                      <m:den>
                        <m:r>
                          <a:rPr kumimoji="1" lang="ja-JP" altLang="en-US" sz="1100" i="1">
                            <a:latin typeface="Cambria Math"/>
                          </a:rPr>
                          <m:t>𝐷</m:t>
                        </m:r>
                      </m:den>
                    </m:f>
                    <m:r>
                      <a:rPr kumimoji="1" lang="en-US" altLang="ja-JP" sz="1100" i="1">
                        <a:latin typeface="Cambria Math"/>
                      </a:rPr>
                      <m:t>×</m:t>
                    </m:r>
                    <m:f>
                      <m:fPr>
                        <m:ctrlPr>
                          <a:rPr kumimoji="1" lang="ja-JP" altLang="en-US" sz="1100" i="1">
                            <a:latin typeface="Cambria Math" panose="02040503050406030204" pitchFamily="18" charset="0"/>
                          </a:rPr>
                        </m:ctrlPr>
                      </m:fPr>
                      <m:num>
                        <m:sSup>
                          <m:sSupPr>
                            <m:ctrlPr>
                              <a:rPr kumimoji="1" lang="en-US" altLang="ja-JP" sz="1100" i="1">
                                <a:latin typeface="Cambria Math" panose="02040503050406030204" pitchFamily="18" charset="0"/>
                              </a:rPr>
                            </m:ctrlPr>
                          </m:sSupPr>
                          <m:e>
                            <m:r>
                              <a:rPr kumimoji="1" lang="en-US" altLang="ja-JP" sz="1100" b="0" i="1">
                                <a:latin typeface="Cambria Math"/>
                              </a:rPr>
                              <m:t>𝑉</m:t>
                            </m:r>
                          </m:e>
                          <m:sup>
                            <m:r>
                              <a:rPr kumimoji="1" lang="en-US" altLang="ja-JP" sz="1100" b="0" i="1">
                                <a:latin typeface="Cambria Math"/>
                              </a:rPr>
                              <m:t>2</m:t>
                            </m:r>
                          </m:sup>
                        </m:sSup>
                      </m:num>
                      <m:den>
                        <m:r>
                          <a:rPr kumimoji="1" lang="en-US" altLang="ja-JP" sz="1100" b="0" i="1">
                            <a:latin typeface="Cambria Math"/>
                          </a:rPr>
                          <m:t>2</m:t>
                        </m:r>
                        <m:r>
                          <a:rPr kumimoji="1" lang="ja-JP" altLang="en-US" sz="1100" i="1">
                            <a:latin typeface="Cambria Math"/>
                          </a:rPr>
                          <m:t>𝑔</m:t>
                        </m:r>
                      </m:den>
                    </m:f>
                  </m:oMath>
                </m:oMathPara>
              </a14:m>
              <a:endParaRPr kumimoji="1" lang="ja-JP" altLang="en-US" sz="1100"/>
            </a:p>
          </xdr:txBody>
        </xdr:sp>
      </mc:Choice>
      <mc:Fallback xmlns="">
        <xdr:sp macro="" textlink="">
          <xdr:nvSpPr>
            <xdr:cNvPr id="3" name="テキスト ボックス 2"/>
            <xdr:cNvSpPr txBox="1"/>
          </xdr:nvSpPr>
          <xdr:spPr>
            <a:xfrm>
              <a:off x="9496426" y="11163299"/>
              <a:ext cx="2895600"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kumimoji="1" lang="ja-JP" altLang="en-US" sz="1100" i="0">
                  <a:latin typeface="Cambria Math"/>
                </a:rPr>
                <a:t>ℎ＝</a:t>
              </a:r>
              <a:r>
                <a:rPr kumimoji="1" lang="en-US" altLang="ja-JP" sz="1100" b="0" i="0">
                  <a:latin typeface="Cambria Math"/>
                </a:rPr>
                <a:t>(</a:t>
              </a:r>
              <a:r>
                <a:rPr kumimoji="1" lang="en-US" altLang="ja-JP" sz="1100" i="0">
                  <a:latin typeface="Cambria Math"/>
                </a:rPr>
                <a:t>0.0126</a:t>
              </a:r>
              <a:r>
                <a:rPr kumimoji="1" lang="ja-JP" altLang="en-US" sz="1100" i="0">
                  <a:latin typeface="Cambria Math"/>
                </a:rPr>
                <a:t>＋</a:t>
              </a:r>
              <a:r>
                <a:rPr kumimoji="1" lang="ja-JP" altLang="en-US" sz="1100" i="0">
                  <a:latin typeface="Cambria Math" panose="02040503050406030204" pitchFamily="18" charset="0"/>
                </a:rPr>
                <a:t>(</a:t>
              </a:r>
              <a:r>
                <a:rPr kumimoji="1" lang="en-US" altLang="ja-JP" sz="1100" i="0">
                  <a:latin typeface="Cambria Math"/>
                </a:rPr>
                <a:t>0.01739−0.1087</a:t>
              </a:r>
              <a:r>
                <a:rPr kumimoji="1" lang="ja-JP" altLang="en-US" sz="1100" i="0">
                  <a:latin typeface="Cambria Math"/>
                </a:rPr>
                <a:t>𝐷</a:t>
              </a:r>
              <a:r>
                <a:rPr kumimoji="1" lang="ja-JP" altLang="en-US" sz="1100" i="0">
                  <a:latin typeface="Cambria Math" panose="02040503050406030204" pitchFamily="18" charset="0"/>
                </a:rPr>
                <a:t>)/√</a:t>
              </a:r>
              <a:r>
                <a:rPr kumimoji="1" lang="en-US" altLang="ja-JP" sz="1100" b="0" i="0">
                  <a:latin typeface="Cambria Math"/>
                </a:rPr>
                <a:t>𝑉)</a:t>
              </a:r>
              <a:r>
                <a:rPr kumimoji="1" lang="en-US" altLang="ja-JP" sz="1100" i="0">
                  <a:latin typeface="Cambria Math"/>
                </a:rPr>
                <a:t>×</a:t>
              </a:r>
              <a:r>
                <a:rPr kumimoji="1" lang="ja-JP" altLang="en-US" sz="1100" i="0">
                  <a:latin typeface="Cambria Math"/>
                </a:rPr>
                <a:t>𝐿</a:t>
              </a:r>
              <a:r>
                <a:rPr kumimoji="1" lang="ja-JP" altLang="en-US" sz="1100" i="0">
                  <a:latin typeface="Cambria Math" panose="02040503050406030204" pitchFamily="18" charset="0"/>
                </a:rPr>
                <a:t>/</a:t>
              </a:r>
              <a:r>
                <a:rPr kumimoji="1" lang="ja-JP" altLang="en-US" sz="1100" i="0">
                  <a:latin typeface="Cambria Math"/>
                </a:rPr>
                <a:t>𝐷</a:t>
              </a:r>
              <a:r>
                <a:rPr kumimoji="1" lang="en-US" altLang="ja-JP" sz="1100" i="0">
                  <a:latin typeface="Cambria Math"/>
                </a:rPr>
                <a:t>×</a:t>
              </a:r>
              <a:r>
                <a:rPr kumimoji="1" lang="en-US" altLang="ja-JP" sz="1100" b="0" i="0">
                  <a:latin typeface="Cambria Math"/>
                </a:rPr>
                <a:t>𝑉</a:t>
              </a:r>
              <a:r>
                <a:rPr kumimoji="1" lang="en-US" altLang="ja-JP" sz="1100" b="0" i="0">
                  <a:latin typeface="Cambria Math" panose="02040503050406030204" pitchFamily="18" charset="0"/>
                </a:rPr>
                <a:t>^</a:t>
              </a:r>
              <a:r>
                <a:rPr kumimoji="1" lang="en-US" altLang="ja-JP" sz="1100" b="0" i="0">
                  <a:latin typeface="Cambria Math"/>
                </a:rPr>
                <a:t>2</a:t>
              </a:r>
              <a:r>
                <a:rPr kumimoji="1" lang="ja-JP" altLang="en-US" sz="1100" b="0" i="0">
                  <a:latin typeface="Cambria Math" panose="02040503050406030204" pitchFamily="18" charset="0"/>
                </a:rPr>
                <a:t>/</a:t>
              </a:r>
              <a:r>
                <a:rPr kumimoji="1" lang="en-US" altLang="ja-JP" sz="1100" b="0" i="0">
                  <a:latin typeface="Cambria Math"/>
                </a:rPr>
                <a:t>2</a:t>
              </a:r>
              <a:r>
                <a:rPr kumimoji="1" lang="ja-JP" altLang="en-US" sz="1100" i="0">
                  <a:latin typeface="Cambria Math"/>
                </a:rPr>
                <a:t>𝑔</a:t>
              </a:r>
              <a:endParaRPr kumimoji="1" lang="ja-JP" altLang="en-US" sz="1100"/>
            </a:p>
          </xdr:txBody>
        </xdr:sp>
      </mc:Fallback>
    </mc:AlternateContent>
    <xdr:clientData/>
  </xdr:oneCellAnchor>
  <xdr:twoCellAnchor>
    <xdr:from>
      <xdr:col>0</xdr:col>
      <xdr:colOff>0</xdr:colOff>
      <xdr:row>3</xdr:row>
      <xdr:rowOff>76200</xdr:rowOff>
    </xdr:from>
    <xdr:to>
      <xdr:col>6</xdr:col>
      <xdr:colOff>304800</xdr:colOff>
      <xdr:row>16</xdr:row>
      <xdr:rowOff>28575</xdr:rowOff>
    </xdr:to>
    <xdr:grpSp>
      <xdr:nvGrpSpPr>
        <xdr:cNvPr id="4" name="Group 179"/>
        <xdr:cNvGrpSpPr>
          <a:grpSpLocks noChangeAspect="1"/>
        </xdr:cNvGrpSpPr>
      </xdr:nvGrpSpPr>
      <xdr:grpSpPr bwMode="auto">
        <a:xfrm>
          <a:off x="0" y="590550"/>
          <a:ext cx="4924425" cy="2181225"/>
          <a:chOff x="72" y="138"/>
          <a:chExt cx="472" cy="211"/>
        </a:xfrm>
      </xdr:grpSpPr>
      <xdr:sp macro="" textlink="">
        <xdr:nvSpPr>
          <xdr:cNvPr id="5" name="AutoShape 178"/>
          <xdr:cNvSpPr>
            <a:spLocks noChangeAspect="1" noChangeArrowheads="1" noTextEdit="1"/>
          </xdr:cNvSpPr>
        </xdr:nvSpPr>
        <xdr:spPr bwMode="auto">
          <a:xfrm>
            <a:off x="72" y="138"/>
            <a:ext cx="472" cy="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Line 180"/>
          <xdr:cNvSpPr>
            <a:spLocks noChangeShapeType="1"/>
          </xdr:cNvSpPr>
        </xdr:nvSpPr>
        <xdr:spPr bwMode="auto">
          <a:xfrm>
            <a:off x="291" y="180"/>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7" name="Rectangle 181"/>
          <xdr:cNvSpPr>
            <a:spLocks noChangeArrowheads="1"/>
          </xdr:cNvSpPr>
        </xdr:nvSpPr>
        <xdr:spPr bwMode="auto">
          <a:xfrm>
            <a:off x="291" y="180"/>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Line 182"/>
          <xdr:cNvSpPr>
            <a:spLocks noChangeShapeType="1"/>
          </xdr:cNvSpPr>
        </xdr:nvSpPr>
        <xdr:spPr bwMode="auto">
          <a:xfrm>
            <a:off x="291" y="181"/>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9" name="Rectangle 183"/>
          <xdr:cNvSpPr>
            <a:spLocks noChangeArrowheads="1"/>
          </xdr:cNvSpPr>
        </xdr:nvSpPr>
        <xdr:spPr bwMode="auto">
          <a:xfrm>
            <a:off x="291" y="181"/>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Line 184"/>
          <xdr:cNvSpPr>
            <a:spLocks noChangeShapeType="1"/>
          </xdr:cNvSpPr>
        </xdr:nvSpPr>
        <xdr:spPr bwMode="auto">
          <a:xfrm>
            <a:off x="291" y="182"/>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1" name="Rectangle 185"/>
          <xdr:cNvSpPr>
            <a:spLocks noChangeArrowheads="1"/>
          </xdr:cNvSpPr>
        </xdr:nvSpPr>
        <xdr:spPr bwMode="auto">
          <a:xfrm>
            <a:off x="291" y="182"/>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Line 186"/>
          <xdr:cNvSpPr>
            <a:spLocks noChangeShapeType="1"/>
          </xdr:cNvSpPr>
        </xdr:nvSpPr>
        <xdr:spPr bwMode="auto">
          <a:xfrm>
            <a:off x="291" y="182"/>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3" name="Rectangle 187"/>
          <xdr:cNvSpPr>
            <a:spLocks noChangeArrowheads="1"/>
          </xdr:cNvSpPr>
        </xdr:nvSpPr>
        <xdr:spPr bwMode="auto">
          <a:xfrm>
            <a:off x="291" y="182"/>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188"/>
          <xdr:cNvSpPr>
            <a:spLocks noChangeShapeType="1"/>
          </xdr:cNvSpPr>
        </xdr:nvSpPr>
        <xdr:spPr bwMode="auto">
          <a:xfrm>
            <a:off x="291" y="183"/>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5" name="Rectangle 189"/>
          <xdr:cNvSpPr>
            <a:spLocks noChangeArrowheads="1"/>
          </xdr:cNvSpPr>
        </xdr:nvSpPr>
        <xdr:spPr bwMode="auto">
          <a:xfrm>
            <a:off x="291" y="183"/>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 name="Line 190"/>
          <xdr:cNvSpPr>
            <a:spLocks noChangeShapeType="1"/>
          </xdr:cNvSpPr>
        </xdr:nvSpPr>
        <xdr:spPr bwMode="auto">
          <a:xfrm>
            <a:off x="291" y="194"/>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7" name="Rectangle 191"/>
          <xdr:cNvSpPr>
            <a:spLocks noChangeArrowheads="1"/>
          </xdr:cNvSpPr>
        </xdr:nvSpPr>
        <xdr:spPr bwMode="auto">
          <a:xfrm>
            <a:off x="291" y="194"/>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 name="Line 192"/>
          <xdr:cNvSpPr>
            <a:spLocks noChangeShapeType="1"/>
          </xdr:cNvSpPr>
        </xdr:nvSpPr>
        <xdr:spPr bwMode="auto">
          <a:xfrm>
            <a:off x="291" y="195"/>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19" name="Rectangle 193"/>
          <xdr:cNvSpPr>
            <a:spLocks noChangeArrowheads="1"/>
          </xdr:cNvSpPr>
        </xdr:nvSpPr>
        <xdr:spPr bwMode="auto">
          <a:xfrm>
            <a:off x="291" y="195"/>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 name="Line 194"/>
          <xdr:cNvSpPr>
            <a:spLocks noChangeShapeType="1"/>
          </xdr:cNvSpPr>
        </xdr:nvSpPr>
        <xdr:spPr bwMode="auto">
          <a:xfrm>
            <a:off x="291" y="196"/>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1" name="Rectangle 195"/>
          <xdr:cNvSpPr>
            <a:spLocks noChangeArrowheads="1"/>
          </xdr:cNvSpPr>
        </xdr:nvSpPr>
        <xdr:spPr bwMode="auto">
          <a:xfrm>
            <a:off x="291" y="196"/>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Line 196"/>
          <xdr:cNvSpPr>
            <a:spLocks noChangeShapeType="1"/>
          </xdr:cNvSpPr>
        </xdr:nvSpPr>
        <xdr:spPr bwMode="auto">
          <a:xfrm>
            <a:off x="291" y="196"/>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3" name="Rectangle 197"/>
          <xdr:cNvSpPr>
            <a:spLocks noChangeArrowheads="1"/>
          </xdr:cNvSpPr>
        </xdr:nvSpPr>
        <xdr:spPr bwMode="auto">
          <a:xfrm>
            <a:off x="291" y="196"/>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Line 198"/>
          <xdr:cNvSpPr>
            <a:spLocks noChangeShapeType="1"/>
          </xdr:cNvSpPr>
        </xdr:nvSpPr>
        <xdr:spPr bwMode="auto">
          <a:xfrm>
            <a:off x="291" y="197"/>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5" name="Rectangle 199"/>
          <xdr:cNvSpPr>
            <a:spLocks noChangeArrowheads="1"/>
          </xdr:cNvSpPr>
        </xdr:nvSpPr>
        <xdr:spPr bwMode="auto">
          <a:xfrm>
            <a:off x="291" y="197"/>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200"/>
          <xdr:cNvSpPr>
            <a:spLocks noChangeShapeType="1"/>
          </xdr:cNvSpPr>
        </xdr:nvSpPr>
        <xdr:spPr bwMode="auto">
          <a:xfrm>
            <a:off x="291" y="208"/>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7" name="Rectangle 201"/>
          <xdr:cNvSpPr>
            <a:spLocks noChangeArrowheads="1"/>
          </xdr:cNvSpPr>
        </xdr:nvSpPr>
        <xdr:spPr bwMode="auto">
          <a:xfrm>
            <a:off x="291" y="208"/>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202"/>
          <xdr:cNvSpPr>
            <a:spLocks noChangeShapeType="1"/>
          </xdr:cNvSpPr>
        </xdr:nvSpPr>
        <xdr:spPr bwMode="auto">
          <a:xfrm>
            <a:off x="291" y="209"/>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03"/>
          <xdr:cNvSpPr>
            <a:spLocks noChangeArrowheads="1"/>
          </xdr:cNvSpPr>
        </xdr:nvSpPr>
        <xdr:spPr bwMode="auto">
          <a:xfrm>
            <a:off x="291" y="209"/>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04"/>
          <xdr:cNvSpPr>
            <a:spLocks noChangeShapeType="1"/>
          </xdr:cNvSpPr>
        </xdr:nvSpPr>
        <xdr:spPr bwMode="auto">
          <a:xfrm>
            <a:off x="291" y="210"/>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05"/>
          <xdr:cNvSpPr>
            <a:spLocks noChangeArrowheads="1"/>
          </xdr:cNvSpPr>
        </xdr:nvSpPr>
        <xdr:spPr bwMode="auto">
          <a:xfrm>
            <a:off x="291" y="210"/>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206"/>
          <xdr:cNvSpPr>
            <a:spLocks noChangeShapeType="1"/>
          </xdr:cNvSpPr>
        </xdr:nvSpPr>
        <xdr:spPr bwMode="auto">
          <a:xfrm>
            <a:off x="291" y="210"/>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207"/>
          <xdr:cNvSpPr>
            <a:spLocks noChangeArrowheads="1"/>
          </xdr:cNvSpPr>
        </xdr:nvSpPr>
        <xdr:spPr bwMode="auto">
          <a:xfrm>
            <a:off x="291" y="210"/>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208"/>
          <xdr:cNvSpPr>
            <a:spLocks noChangeShapeType="1"/>
          </xdr:cNvSpPr>
        </xdr:nvSpPr>
        <xdr:spPr bwMode="auto">
          <a:xfrm>
            <a:off x="291" y="211"/>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209"/>
          <xdr:cNvSpPr>
            <a:spLocks noChangeArrowheads="1"/>
          </xdr:cNvSpPr>
        </xdr:nvSpPr>
        <xdr:spPr bwMode="auto">
          <a:xfrm>
            <a:off x="291" y="211"/>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10"/>
          <xdr:cNvSpPr>
            <a:spLocks noChangeShapeType="1"/>
          </xdr:cNvSpPr>
        </xdr:nvSpPr>
        <xdr:spPr bwMode="auto">
          <a:xfrm>
            <a:off x="291" y="222"/>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211"/>
          <xdr:cNvSpPr>
            <a:spLocks noChangeArrowheads="1"/>
          </xdr:cNvSpPr>
        </xdr:nvSpPr>
        <xdr:spPr bwMode="auto">
          <a:xfrm>
            <a:off x="291" y="222"/>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12"/>
          <xdr:cNvSpPr>
            <a:spLocks noChangeShapeType="1"/>
          </xdr:cNvSpPr>
        </xdr:nvSpPr>
        <xdr:spPr bwMode="auto">
          <a:xfrm>
            <a:off x="291" y="223"/>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39" name="Rectangle 213"/>
          <xdr:cNvSpPr>
            <a:spLocks noChangeArrowheads="1"/>
          </xdr:cNvSpPr>
        </xdr:nvSpPr>
        <xdr:spPr bwMode="auto">
          <a:xfrm>
            <a:off x="291" y="223"/>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14"/>
          <xdr:cNvSpPr>
            <a:spLocks noChangeShapeType="1"/>
          </xdr:cNvSpPr>
        </xdr:nvSpPr>
        <xdr:spPr bwMode="auto">
          <a:xfrm>
            <a:off x="291" y="223"/>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41" name="Rectangle 215"/>
          <xdr:cNvSpPr>
            <a:spLocks noChangeArrowheads="1"/>
          </xdr:cNvSpPr>
        </xdr:nvSpPr>
        <xdr:spPr bwMode="auto">
          <a:xfrm>
            <a:off x="291" y="223"/>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16"/>
          <xdr:cNvSpPr>
            <a:spLocks noChangeShapeType="1"/>
          </xdr:cNvSpPr>
        </xdr:nvSpPr>
        <xdr:spPr bwMode="auto">
          <a:xfrm>
            <a:off x="291" y="224"/>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43" name="Rectangle 217"/>
          <xdr:cNvSpPr>
            <a:spLocks noChangeArrowheads="1"/>
          </xdr:cNvSpPr>
        </xdr:nvSpPr>
        <xdr:spPr bwMode="auto">
          <a:xfrm>
            <a:off x="291" y="224"/>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18"/>
          <xdr:cNvSpPr>
            <a:spLocks noChangeShapeType="1"/>
          </xdr:cNvSpPr>
        </xdr:nvSpPr>
        <xdr:spPr bwMode="auto">
          <a:xfrm>
            <a:off x="291" y="225"/>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45" name="Rectangle 219"/>
          <xdr:cNvSpPr>
            <a:spLocks noChangeArrowheads="1"/>
          </xdr:cNvSpPr>
        </xdr:nvSpPr>
        <xdr:spPr bwMode="auto">
          <a:xfrm>
            <a:off x="291" y="225"/>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20"/>
          <xdr:cNvSpPr>
            <a:spLocks noChangeShapeType="1"/>
          </xdr:cNvSpPr>
        </xdr:nvSpPr>
        <xdr:spPr bwMode="auto">
          <a:xfrm>
            <a:off x="291" y="236"/>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47" name="Rectangle 221"/>
          <xdr:cNvSpPr>
            <a:spLocks noChangeArrowheads="1"/>
          </xdr:cNvSpPr>
        </xdr:nvSpPr>
        <xdr:spPr bwMode="auto">
          <a:xfrm>
            <a:off x="291" y="236"/>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22"/>
          <xdr:cNvSpPr>
            <a:spLocks noChangeShapeType="1"/>
          </xdr:cNvSpPr>
        </xdr:nvSpPr>
        <xdr:spPr bwMode="auto">
          <a:xfrm>
            <a:off x="291" y="237"/>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49" name="Rectangle 223"/>
          <xdr:cNvSpPr>
            <a:spLocks noChangeArrowheads="1"/>
          </xdr:cNvSpPr>
        </xdr:nvSpPr>
        <xdr:spPr bwMode="auto">
          <a:xfrm>
            <a:off x="291" y="237"/>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24"/>
          <xdr:cNvSpPr>
            <a:spLocks noChangeShapeType="1"/>
          </xdr:cNvSpPr>
        </xdr:nvSpPr>
        <xdr:spPr bwMode="auto">
          <a:xfrm>
            <a:off x="291" y="237"/>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225"/>
          <xdr:cNvSpPr>
            <a:spLocks noChangeArrowheads="1"/>
          </xdr:cNvSpPr>
        </xdr:nvSpPr>
        <xdr:spPr bwMode="auto">
          <a:xfrm>
            <a:off x="291" y="237"/>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26"/>
          <xdr:cNvSpPr>
            <a:spLocks noChangeShapeType="1"/>
          </xdr:cNvSpPr>
        </xdr:nvSpPr>
        <xdr:spPr bwMode="auto">
          <a:xfrm>
            <a:off x="291" y="238"/>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227"/>
          <xdr:cNvSpPr>
            <a:spLocks noChangeArrowheads="1"/>
          </xdr:cNvSpPr>
        </xdr:nvSpPr>
        <xdr:spPr bwMode="auto">
          <a:xfrm>
            <a:off x="291" y="238"/>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28"/>
          <xdr:cNvSpPr>
            <a:spLocks noChangeShapeType="1"/>
          </xdr:cNvSpPr>
        </xdr:nvSpPr>
        <xdr:spPr bwMode="auto">
          <a:xfrm>
            <a:off x="291" y="239"/>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55" name="Rectangle 229"/>
          <xdr:cNvSpPr>
            <a:spLocks noChangeArrowheads="1"/>
          </xdr:cNvSpPr>
        </xdr:nvSpPr>
        <xdr:spPr bwMode="auto">
          <a:xfrm>
            <a:off x="291" y="239"/>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230"/>
          <xdr:cNvSpPr>
            <a:spLocks noChangeShapeType="1"/>
          </xdr:cNvSpPr>
        </xdr:nvSpPr>
        <xdr:spPr bwMode="auto">
          <a:xfrm>
            <a:off x="291" y="250"/>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57" name="Rectangle 231"/>
          <xdr:cNvSpPr>
            <a:spLocks noChangeArrowheads="1"/>
          </xdr:cNvSpPr>
        </xdr:nvSpPr>
        <xdr:spPr bwMode="auto">
          <a:xfrm>
            <a:off x="291" y="250"/>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232"/>
          <xdr:cNvSpPr>
            <a:spLocks noChangeShapeType="1"/>
          </xdr:cNvSpPr>
        </xdr:nvSpPr>
        <xdr:spPr bwMode="auto">
          <a:xfrm>
            <a:off x="291" y="250"/>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59" name="Rectangle 233"/>
          <xdr:cNvSpPr>
            <a:spLocks noChangeArrowheads="1"/>
          </xdr:cNvSpPr>
        </xdr:nvSpPr>
        <xdr:spPr bwMode="auto">
          <a:xfrm>
            <a:off x="291" y="250"/>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234"/>
          <xdr:cNvSpPr>
            <a:spLocks noChangeShapeType="1"/>
          </xdr:cNvSpPr>
        </xdr:nvSpPr>
        <xdr:spPr bwMode="auto">
          <a:xfrm>
            <a:off x="291" y="251"/>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61" name="Rectangle 235"/>
          <xdr:cNvSpPr>
            <a:spLocks noChangeArrowheads="1"/>
          </xdr:cNvSpPr>
        </xdr:nvSpPr>
        <xdr:spPr bwMode="auto">
          <a:xfrm>
            <a:off x="291" y="251"/>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236"/>
          <xdr:cNvSpPr>
            <a:spLocks noChangeShapeType="1"/>
          </xdr:cNvSpPr>
        </xdr:nvSpPr>
        <xdr:spPr bwMode="auto">
          <a:xfrm>
            <a:off x="291" y="252"/>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63" name="Rectangle 237"/>
          <xdr:cNvSpPr>
            <a:spLocks noChangeArrowheads="1"/>
          </xdr:cNvSpPr>
        </xdr:nvSpPr>
        <xdr:spPr bwMode="auto">
          <a:xfrm>
            <a:off x="291" y="252"/>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238"/>
          <xdr:cNvSpPr>
            <a:spLocks noChangeShapeType="1"/>
          </xdr:cNvSpPr>
        </xdr:nvSpPr>
        <xdr:spPr bwMode="auto">
          <a:xfrm>
            <a:off x="291" y="253"/>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239"/>
          <xdr:cNvSpPr>
            <a:spLocks noChangeArrowheads="1"/>
          </xdr:cNvSpPr>
        </xdr:nvSpPr>
        <xdr:spPr bwMode="auto">
          <a:xfrm>
            <a:off x="291" y="253"/>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240"/>
          <xdr:cNvSpPr>
            <a:spLocks noChangeShapeType="1"/>
          </xdr:cNvSpPr>
        </xdr:nvSpPr>
        <xdr:spPr bwMode="auto">
          <a:xfrm>
            <a:off x="291" y="264"/>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241"/>
          <xdr:cNvSpPr>
            <a:spLocks noChangeArrowheads="1"/>
          </xdr:cNvSpPr>
        </xdr:nvSpPr>
        <xdr:spPr bwMode="auto">
          <a:xfrm>
            <a:off x="291" y="264"/>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242"/>
          <xdr:cNvSpPr>
            <a:spLocks noChangeShapeType="1"/>
          </xdr:cNvSpPr>
        </xdr:nvSpPr>
        <xdr:spPr bwMode="auto">
          <a:xfrm>
            <a:off x="291" y="264"/>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243"/>
          <xdr:cNvSpPr>
            <a:spLocks noChangeArrowheads="1"/>
          </xdr:cNvSpPr>
        </xdr:nvSpPr>
        <xdr:spPr bwMode="auto">
          <a:xfrm>
            <a:off x="291" y="264"/>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244"/>
          <xdr:cNvSpPr>
            <a:spLocks noChangeShapeType="1"/>
          </xdr:cNvSpPr>
        </xdr:nvSpPr>
        <xdr:spPr bwMode="auto">
          <a:xfrm>
            <a:off x="291" y="265"/>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245"/>
          <xdr:cNvSpPr>
            <a:spLocks noChangeArrowheads="1"/>
          </xdr:cNvSpPr>
        </xdr:nvSpPr>
        <xdr:spPr bwMode="auto">
          <a:xfrm>
            <a:off x="291" y="265"/>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246"/>
          <xdr:cNvSpPr>
            <a:spLocks noChangeShapeType="1"/>
          </xdr:cNvSpPr>
        </xdr:nvSpPr>
        <xdr:spPr bwMode="auto">
          <a:xfrm>
            <a:off x="291" y="266"/>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247"/>
          <xdr:cNvSpPr>
            <a:spLocks noChangeArrowheads="1"/>
          </xdr:cNvSpPr>
        </xdr:nvSpPr>
        <xdr:spPr bwMode="auto">
          <a:xfrm>
            <a:off x="291" y="266"/>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248"/>
          <xdr:cNvSpPr>
            <a:spLocks noChangeShapeType="1"/>
          </xdr:cNvSpPr>
        </xdr:nvSpPr>
        <xdr:spPr bwMode="auto">
          <a:xfrm>
            <a:off x="291" y="266"/>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249"/>
          <xdr:cNvSpPr>
            <a:spLocks noChangeArrowheads="1"/>
          </xdr:cNvSpPr>
        </xdr:nvSpPr>
        <xdr:spPr bwMode="auto">
          <a:xfrm>
            <a:off x="291" y="266"/>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250"/>
          <xdr:cNvSpPr>
            <a:spLocks noChangeShapeType="1"/>
          </xdr:cNvSpPr>
        </xdr:nvSpPr>
        <xdr:spPr bwMode="auto">
          <a:xfrm>
            <a:off x="291" y="278"/>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251"/>
          <xdr:cNvSpPr>
            <a:spLocks noChangeArrowheads="1"/>
          </xdr:cNvSpPr>
        </xdr:nvSpPr>
        <xdr:spPr bwMode="auto">
          <a:xfrm>
            <a:off x="291" y="278"/>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252"/>
          <xdr:cNvSpPr>
            <a:spLocks noChangeShapeType="1"/>
          </xdr:cNvSpPr>
        </xdr:nvSpPr>
        <xdr:spPr bwMode="auto">
          <a:xfrm>
            <a:off x="291" y="278"/>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253"/>
          <xdr:cNvSpPr>
            <a:spLocks noChangeArrowheads="1"/>
          </xdr:cNvSpPr>
        </xdr:nvSpPr>
        <xdr:spPr bwMode="auto">
          <a:xfrm>
            <a:off x="291" y="278"/>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254"/>
          <xdr:cNvSpPr>
            <a:spLocks noChangeShapeType="1"/>
          </xdr:cNvSpPr>
        </xdr:nvSpPr>
        <xdr:spPr bwMode="auto">
          <a:xfrm>
            <a:off x="291" y="279"/>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81" name="Rectangle 255"/>
          <xdr:cNvSpPr>
            <a:spLocks noChangeArrowheads="1"/>
          </xdr:cNvSpPr>
        </xdr:nvSpPr>
        <xdr:spPr bwMode="auto">
          <a:xfrm>
            <a:off x="291" y="279"/>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256"/>
          <xdr:cNvSpPr>
            <a:spLocks noChangeShapeType="1"/>
          </xdr:cNvSpPr>
        </xdr:nvSpPr>
        <xdr:spPr bwMode="auto">
          <a:xfrm>
            <a:off x="291" y="280"/>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83" name="Rectangle 257"/>
          <xdr:cNvSpPr>
            <a:spLocks noChangeArrowheads="1"/>
          </xdr:cNvSpPr>
        </xdr:nvSpPr>
        <xdr:spPr bwMode="auto">
          <a:xfrm>
            <a:off x="291" y="280"/>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258"/>
          <xdr:cNvSpPr>
            <a:spLocks noChangeShapeType="1"/>
          </xdr:cNvSpPr>
        </xdr:nvSpPr>
        <xdr:spPr bwMode="auto">
          <a:xfrm>
            <a:off x="291" y="280"/>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85" name="Rectangle 259"/>
          <xdr:cNvSpPr>
            <a:spLocks noChangeArrowheads="1"/>
          </xdr:cNvSpPr>
        </xdr:nvSpPr>
        <xdr:spPr bwMode="auto">
          <a:xfrm>
            <a:off x="291" y="280"/>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260"/>
          <xdr:cNvSpPr>
            <a:spLocks noChangeShapeType="1"/>
          </xdr:cNvSpPr>
        </xdr:nvSpPr>
        <xdr:spPr bwMode="auto">
          <a:xfrm>
            <a:off x="291" y="291"/>
            <a:ext cx="3"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87" name="Rectangle 261"/>
          <xdr:cNvSpPr>
            <a:spLocks noChangeArrowheads="1"/>
          </xdr:cNvSpPr>
        </xdr:nvSpPr>
        <xdr:spPr bwMode="auto">
          <a:xfrm>
            <a:off x="291" y="291"/>
            <a:ext cx="3"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262"/>
          <xdr:cNvSpPr>
            <a:spLocks noChangeShapeType="1"/>
          </xdr:cNvSpPr>
        </xdr:nvSpPr>
        <xdr:spPr bwMode="auto">
          <a:xfrm>
            <a:off x="291" y="292"/>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89" name="Rectangle 263"/>
          <xdr:cNvSpPr>
            <a:spLocks noChangeArrowheads="1"/>
          </xdr:cNvSpPr>
        </xdr:nvSpPr>
        <xdr:spPr bwMode="auto">
          <a:xfrm>
            <a:off x="291" y="292"/>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264"/>
          <xdr:cNvSpPr>
            <a:spLocks noChangeShapeType="1"/>
          </xdr:cNvSpPr>
        </xdr:nvSpPr>
        <xdr:spPr bwMode="auto">
          <a:xfrm>
            <a:off x="291" y="293"/>
            <a:ext cx="2"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91" name="Rectangle 265"/>
          <xdr:cNvSpPr>
            <a:spLocks noChangeArrowheads="1"/>
          </xdr:cNvSpPr>
        </xdr:nvSpPr>
        <xdr:spPr bwMode="auto">
          <a:xfrm>
            <a:off x="291" y="293"/>
            <a:ext cx="2"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266"/>
          <xdr:cNvSpPr>
            <a:spLocks noChangeShapeType="1"/>
          </xdr:cNvSpPr>
        </xdr:nvSpPr>
        <xdr:spPr bwMode="auto">
          <a:xfrm>
            <a:off x="291" y="294"/>
            <a:ext cx="1"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93" name="Rectangle 267"/>
          <xdr:cNvSpPr>
            <a:spLocks noChangeArrowheads="1"/>
          </xdr:cNvSpPr>
        </xdr:nvSpPr>
        <xdr:spPr bwMode="auto">
          <a:xfrm>
            <a:off x="291" y="294"/>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 name="Line 268"/>
          <xdr:cNvSpPr>
            <a:spLocks noChangeShapeType="1"/>
          </xdr:cNvSpPr>
        </xdr:nvSpPr>
        <xdr:spPr bwMode="auto">
          <a:xfrm>
            <a:off x="291" y="294"/>
            <a:ext cx="0" cy="0"/>
          </a:xfrm>
          <a:prstGeom prst="line">
            <a:avLst/>
          </a:prstGeom>
          <a:noFill/>
          <a:ln w="0">
            <a:solidFill>
              <a:srgbClr val="008000"/>
            </a:solidFill>
            <a:prstDash val="solid"/>
            <a:round/>
            <a:headEnd/>
            <a:tailEnd/>
          </a:ln>
          <a:extLst>
            <a:ext uri="{909E8E84-426E-40DD-AFC4-6F175D3DCCD1}">
              <a14:hiddenFill xmlns:a14="http://schemas.microsoft.com/office/drawing/2010/main">
                <a:noFill/>
              </a14:hiddenFill>
            </a:ext>
          </a:extLst>
        </xdr:spPr>
      </xdr:sp>
      <xdr:sp macro="" textlink="">
        <xdr:nvSpPr>
          <xdr:cNvPr id="95" name="Rectangle 269"/>
          <xdr:cNvSpPr>
            <a:spLocks noChangeArrowheads="1"/>
          </xdr:cNvSpPr>
        </xdr:nvSpPr>
        <xdr:spPr bwMode="auto">
          <a:xfrm>
            <a:off x="291" y="294"/>
            <a:ext cx="1" cy="1"/>
          </a:xfrm>
          <a:prstGeom prst="rect">
            <a:avLst/>
          </a:prstGeom>
          <a:solidFill>
            <a:srgbClr val="008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 name="Rectangle 270"/>
          <xdr:cNvSpPr>
            <a:spLocks noChangeArrowheads="1"/>
          </xdr:cNvSpPr>
        </xdr:nvSpPr>
        <xdr:spPr bwMode="auto">
          <a:xfrm>
            <a:off x="119" y="141"/>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用途</a:t>
            </a:r>
          </a:p>
        </xdr:txBody>
      </xdr:sp>
      <xdr:sp macro="" textlink="">
        <xdr:nvSpPr>
          <xdr:cNvPr id="97" name="Rectangle 271"/>
          <xdr:cNvSpPr>
            <a:spLocks noChangeArrowheads="1"/>
          </xdr:cNvSpPr>
        </xdr:nvSpPr>
        <xdr:spPr bwMode="auto">
          <a:xfrm>
            <a:off x="196" y="141"/>
            <a:ext cx="9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使用水量（Ｌ／min）</a:t>
            </a:r>
          </a:p>
        </xdr:txBody>
      </xdr:sp>
      <xdr:sp macro="" textlink="">
        <xdr:nvSpPr>
          <xdr:cNvPr id="98" name="Rectangle 272"/>
          <xdr:cNvSpPr>
            <a:spLocks noChangeArrowheads="1"/>
          </xdr:cNvSpPr>
        </xdr:nvSpPr>
        <xdr:spPr bwMode="auto">
          <a:xfrm>
            <a:off x="300" y="141"/>
            <a:ext cx="14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対応する給水用具の口径（mm）</a:t>
            </a:r>
          </a:p>
        </xdr:txBody>
      </xdr:sp>
      <xdr:sp macro="" textlink="">
        <xdr:nvSpPr>
          <xdr:cNvPr id="99" name="Rectangle 273"/>
          <xdr:cNvSpPr>
            <a:spLocks noChangeArrowheads="1"/>
          </xdr:cNvSpPr>
        </xdr:nvSpPr>
        <xdr:spPr bwMode="auto">
          <a:xfrm>
            <a:off x="486" y="141"/>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備考</a:t>
            </a:r>
          </a:p>
        </xdr:txBody>
      </xdr:sp>
      <xdr:sp macro="" textlink="">
        <xdr:nvSpPr>
          <xdr:cNvPr id="100" name="Rectangle 274"/>
          <xdr:cNvSpPr>
            <a:spLocks noChangeArrowheads="1"/>
          </xdr:cNvSpPr>
        </xdr:nvSpPr>
        <xdr:spPr bwMode="auto">
          <a:xfrm>
            <a:off x="74" y="155"/>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台所流し</a:t>
            </a:r>
          </a:p>
        </xdr:txBody>
      </xdr:sp>
      <xdr:sp macro="" textlink="">
        <xdr:nvSpPr>
          <xdr:cNvPr id="101" name="Rectangle 275"/>
          <xdr:cNvSpPr>
            <a:spLocks noChangeArrowheads="1"/>
          </xdr:cNvSpPr>
        </xdr:nvSpPr>
        <xdr:spPr bwMode="auto">
          <a:xfrm>
            <a:off x="212" y="15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４０</a:t>
            </a:r>
          </a:p>
        </xdr:txBody>
      </xdr:sp>
      <xdr:sp macro="" textlink="">
        <xdr:nvSpPr>
          <xdr:cNvPr id="102" name="Rectangle 276"/>
          <xdr:cNvSpPr>
            <a:spLocks noChangeArrowheads="1"/>
          </xdr:cNvSpPr>
        </xdr:nvSpPr>
        <xdr:spPr bwMode="auto">
          <a:xfrm>
            <a:off x="343" y="15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　～　２０</a:t>
            </a:r>
          </a:p>
        </xdr:txBody>
      </xdr:sp>
      <xdr:sp macro="" textlink="">
        <xdr:nvSpPr>
          <xdr:cNvPr id="103" name="Rectangle 277"/>
          <xdr:cNvSpPr>
            <a:spLocks noChangeArrowheads="1"/>
          </xdr:cNvSpPr>
        </xdr:nvSpPr>
        <xdr:spPr bwMode="auto">
          <a:xfrm>
            <a:off x="74" y="169"/>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洗濯流し</a:t>
            </a:r>
          </a:p>
        </xdr:txBody>
      </xdr:sp>
      <xdr:sp macro="" textlink="">
        <xdr:nvSpPr>
          <xdr:cNvPr id="104" name="Rectangle 278"/>
          <xdr:cNvSpPr>
            <a:spLocks noChangeArrowheads="1"/>
          </xdr:cNvSpPr>
        </xdr:nvSpPr>
        <xdr:spPr bwMode="auto">
          <a:xfrm>
            <a:off x="212" y="169"/>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４０</a:t>
            </a:r>
          </a:p>
        </xdr:txBody>
      </xdr:sp>
      <xdr:sp macro="" textlink="">
        <xdr:nvSpPr>
          <xdr:cNvPr id="105" name="Rectangle 279"/>
          <xdr:cNvSpPr>
            <a:spLocks noChangeArrowheads="1"/>
          </xdr:cNvSpPr>
        </xdr:nvSpPr>
        <xdr:spPr bwMode="auto">
          <a:xfrm>
            <a:off x="343" y="169"/>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　～　２０</a:t>
            </a:r>
          </a:p>
        </xdr:txBody>
      </xdr:sp>
      <xdr:sp macro="" textlink="">
        <xdr:nvSpPr>
          <xdr:cNvPr id="106" name="Rectangle 280"/>
          <xdr:cNvSpPr>
            <a:spLocks noChangeArrowheads="1"/>
          </xdr:cNvSpPr>
        </xdr:nvSpPr>
        <xdr:spPr bwMode="auto">
          <a:xfrm>
            <a:off x="74" y="182"/>
            <a:ext cx="3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洗面器</a:t>
            </a:r>
          </a:p>
        </xdr:txBody>
      </xdr:sp>
      <xdr:sp macro="" textlink="">
        <xdr:nvSpPr>
          <xdr:cNvPr id="107" name="Rectangle 281"/>
          <xdr:cNvSpPr>
            <a:spLocks noChangeArrowheads="1"/>
          </xdr:cNvSpPr>
        </xdr:nvSpPr>
        <xdr:spPr bwMode="auto">
          <a:xfrm>
            <a:off x="212" y="182"/>
            <a:ext cx="5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８　～　１５</a:t>
            </a:r>
          </a:p>
        </xdr:txBody>
      </xdr:sp>
      <xdr:sp macro="" textlink="">
        <xdr:nvSpPr>
          <xdr:cNvPr id="108" name="Rectangle 282"/>
          <xdr:cNvSpPr>
            <a:spLocks noChangeArrowheads="1"/>
          </xdr:cNvSpPr>
        </xdr:nvSpPr>
        <xdr:spPr bwMode="auto">
          <a:xfrm>
            <a:off x="343" y="182"/>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09" name="Rectangle 283"/>
          <xdr:cNvSpPr>
            <a:spLocks noChangeArrowheads="1"/>
          </xdr:cNvSpPr>
        </xdr:nvSpPr>
        <xdr:spPr bwMode="auto">
          <a:xfrm>
            <a:off x="74" y="196"/>
            <a:ext cx="5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浴槽 （和式）</a:t>
            </a:r>
          </a:p>
        </xdr:txBody>
      </xdr:sp>
      <xdr:sp macro="" textlink="">
        <xdr:nvSpPr>
          <xdr:cNvPr id="110" name="Rectangle 284"/>
          <xdr:cNvSpPr>
            <a:spLocks noChangeArrowheads="1"/>
          </xdr:cNvSpPr>
        </xdr:nvSpPr>
        <xdr:spPr bwMode="auto">
          <a:xfrm>
            <a:off x="212" y="196"/>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２０　～　４０</a:t>
            </a:r>
          </a:p>
        </xdr:txBody>
      </xdr:sp>
      <xdr:sp macro="" textlink="">
        <xdr:nvSpPr>
          <xdr:cNvPr id="111" name="Rectangle 285"/>
          <xdr:cNvSpPr>
            <a:spLocks noChangeArrowheads="1"/>
          </xdr:cNvSpPr>
        </xdr:nvSpPr>
        <xdr:spPr bwMode="auto">
          <a:xfrm>
            <a:off x="343" y="196"/>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12" name="Rectangle 286"/>
          <xdr:cNvSpPr>
            <a:spLocks noChangeArrowheads="1"/>
          </xdr:cNvSpPr>
        </xdr:nvSpPr>
        <xdr:spPr bwMode="auto">
          <a:xfrm>
            <a:off x="449" y="196"/>
            <a:ext cx="7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１回（4～6秒）の</a:t>
            </a:r>
          </a:p>
        </xdr:txBody>
      </xdr:sp>
      <xdr:sp macro="" textlink="">
        <xdr:nvSpPr>
          <xdr:cNvPr id="113" name="Rectangle 287"/>
          <xdr:cNvSpPr>
            <a:spLocks noChangeArrowheads="1"/>
          </xdr:cNvSpPr>
        </xdr:nvSpPr>
        <xdr:spPr bwMode="auto">
          <a:xfrm>
            <a:off x="74" y="210"/>
            <a:ext cx="5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　（洋式）</a:t>
            </a:r>
          </a:p>
        </xdr:txBody>
      </xdr:sp>
      <xdr:sp macro="" textlink="">
        <xdr:nvSpPr>
          <xdr:cNvPr id="114" name="Rectangle 288"/>
          <xdr:cNvSpPr>
            <a:spLocks noChangeArrowheads="1"/>
          </xdr:cNvSpPr>
        </xdr:nvSpPr>
        <xdr:spPr bwMode="auto">
          <a:xfrm>
            <a:off x="212" y="210"/>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３０　～　６０</a:t>
            </a:r>
          </a:p>
        </xdr:txBody>
      </xdr:sp>
      <xdr:sp macro="" textlink="">
        <xdr:nvSpPr>
          <xdr:cNvPr id="115" name="Rectangle 289"/>
          <xdr:cNvSpPr>
            <a:spLocks noChangeArrowheads="1"/>
          </xdr:cNvSpPr>
        </xdr:nvSpPr>
        <xdr:spPr bwMode="auto">
          <a:xfrm>
            <a:off x="343" y="210"/>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16" name="Rectangle 290"/>
          <xdr:cNvSpPr>
            <a:spLocks noChangeArrowheads="1"/>
          </xdr:cNvSpPr>
        </xdr:nvSpPr>
        <xdr:spPr bwMode="auto">
          <a:xfrm>
            <a:off x="449" y="210"/>
            <a:ext cx="4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吐水量</a:t>
            </a:r>
          </a:p>
        </xdr:txBody>
      </xdr:sp>
      <xdr:sp macro="" textlink="">
        <xdr:nvSpPr>
          <xdr:cNvPr id="117" name="Rectangle 291"/>
          <xdr:cNvSpPr>
            <a:spLocks noChangeArrowheads="1"/>
          </xdr:cNvSpPr>
        </xdr:nvSpPr>
        <xdr:spPr bwMode="auto">
          <a:xfrm>
            <a:off x="74" y="224"/>
            <a:ext cx="4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シャワー</a:t>
            </a:r>
          </a:p>
        </xdr:txBody>
      </xdr:sp>
      <xdr:sp macro="" textlink="">
        <xdr:nvSpPr>
          <xdr:cNvPr id="118" name="Rectangle 292"/>
          <xdr:cNvSpPr>
            <a:spLocks noChangeArrowheads="1"/>
          </xdr:cNvSpPr>
        </xdr:nvSpPr>
        <xdr:spPr bwMode="auto">
          <a:xfrm>
            <a:off x="212" y="224"/>
            <a:ext cx="5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８　～　１５</a:t>
            </a:r>
          </a:p>
        </xdr:txBody>
      </xdr:sp>
      <xdr:sp macro="" textlink="">
        <xdr:nvSpPr>
          <xdr:cNvPr id="119" name="Rectangle 293"/>
          <xdr:cNvSpPr>
            <a:spLocks noChangeArrowheads="1"/>
          </xdr:cNvSpPr>
        </xdr:nvSpPr>
        <xdr:spPr bwMode="auto">
          <a:xfrm>
            <a:off x="343" y="224"/>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20" name="Rectangle 294"/>
          <xdr:cNvSpPr>
            <a:spLocks noChangeArrowheads="1"/>
          </xdr:cNvSpPr>
        </xdr:nvSpPr>
        <xdr:spPr bwMode="auto">
          <a:xfrm>
            <a:off x="449" y="224"/>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2～3Ｌ</a:t>
            </a:r>
          </a:p>
        </xdr:txBody>
      </xdr:sp>
      <xdr:sp macro="" textlink="">
        <xdr:nvSpPr>
          <xdr:cNvPr id="121" name="Rectangle 295"/>
          <xdr:cNvSpPr>
            <a:spLocks noChangeArrowheads="1"/>
          </xdr:cNvSpPr>
        </xdr:nvSpPr>
        <xdr:spPr bwMode="auto">
          <a:xfrm>
            <a:off x="74" y="238"/>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小便器（洗浄水槽）</a:t>
            </a:r>
          </a:p>
        </xdr:txBody>
      </xdr:sp>
      <xdr:sp macro="" textlink="">
        <xdr:nvSpPr>
          <xdr:cNvPr id="122" name="Rectangle 296"/>
          <xdr:cNvSpPr>
            <a:spLocks noChangeArrowheads="1"/>
          </xdr:cNvSpPr>
        </xdr:nvSpPr>
        <xdr:spPr bwMode="auto">
          <a:xfrm>
            <a:off x="212" y="238"/>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２０</a:t>
            </a:r>
          </a:p>
        </xdr:txBody>
      </xdr:sp>
      <xdr:sp macro="" textlink="">
        <xdr:nvSpPr>
          <xdr:cNvPr id="123" name="Rectangle 297"/>
          <xdr:cNvSpPr>
            <a:spLocks noChangeArrowheads="1"/>
          </xdr:cNvSpPr>
        </xdr:nvSpPr>
        <xdr:spPr bwMode="auto">
          <a:xfrm>
            <a:off x="343" y="238"/>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２５</a:t>
            </a:r>
          </a:p>
        </xdr:txBody>
      </xdr:sp>
      <xdr:sp macro="" textlink="">
        <xdr:nvSpPr>
          <xdr:cNvPr id="124" name="Rectangle 298"/>
          <xdr:cNvSpPr>
            <a:spLocks noChangeArrowheads="1"/>
          </xdr:cNvSpPr>
        </xdr:nvSpPr>
        <xdr:spPr bwMode="auto">
          <a:xfrm>
            <a:off x="449" y="238"/>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１回</a:t>
            </a:r>
          </a:p>
        </xdr:txBody>
      </xdr:sp>
      <xdr:sp macro="" textlink="">
        <xdr:nvSpPr>
          <xdr:cNvPr id="125" name="Rectangle 299"/>
          <xdr:cNvSpPr>
            <a:spLocks noChangeArrowheads="1"/>
          </xdr:cNvSpPr>
        </xdr:nvSpPr>
        <xdr:spPr bwMode="auto">
          <a:xfrm>
            <a:off x="74" y="252"/>
            <a:ext cx="7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　（洗浄弁）</a:t>
            </a:r>
          </a:p>
        </xdr:txBody>
      </xdr:sp>
      <xdr:sp macro="" textlink="">
        <xdr:nvSpPr>
          <xdr:cNvPr id="126" name="Rectangle 300"/>
          <xdr:cNvSpPr>
            <a:spLocks noChangeArrowheads="1"/>
          </xdr:cNvSpPr>
        </xdr:nvSpPr>
        <xdr:spPr bwMode="auto">
          <a:xfrm>
            <a:off x="212" y="252"/>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１５　～　３０</a:t>
            </a:r>
          </a:p>
        </xdr:txBody>
      </xdr:sp>
      <xdr:sp macro="" textlink="">
        <xdr:nvSpPr>
          <xdr:cNvPr id="127" name="Rectangle 301"/>
          <xdr:cNvSpPr>
            <a:spLocks noChangeArrowheads="1"/>
          </xdr:cNvSpPr>
        </xdr:nvSpPr>
        <xdr:spPr bwMode="auto">
          <a:xfrm>
            <a:off x="343" y="252"/>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28" name="Rectangle 302"/>
          <xdr:cNvSpPr>
            <a:spLocks noChangeArrowheads="1"/>
          </xdr:cNvSpPr>
        </xdr:nvSpPr>
        <xdr:spPr bwMode="auto">
          <a:xfrm>
            <a:off x="449" y="252"/>
            <a:ext cx="6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（8～12秒）の</a:t>
            </a:r>
          </a:p>
        </xdr:txBody>
      </xdr:sp>
      <xdr:sp macro="" textlink="">
        <xdr:nvSpPr>
          <xdr:cNvPr id="129" name="Rectangle 303"/>
          <xdr:cNvSpPr>
            <a:spLocks noChangeArrowheads="1"/>
          </xdr:cNvSpPr>
        </xdr:nvSpPr>
        <xdr:spPr bwMode="auto">
          <a:xfrm>
            <a:off x="74" y="266"/>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大便器（洗浄水槽）</a:t>
            </a:r>
          </a:p>
        </xdr:txBody>
      </xdr:sp>
      <xdr:sp macro="" textlink="">
        <xdr:nvSpPr>
          <xdr:cNvPr id="130" name="Rectangle 304"/>
          <xdr:cNvSpPr>
            <a:spLocks noChangeArrowheads="1"/>
          </xdr:cNvSpPr>
        </xdr:nvSpPr>
        <xdr:spPr bwMode="auto">
          <a:xfrm>
            <a:off x="212" y="266"/>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１２　～　２０</a:t>
            </a:r>
          </a:p>
        </xdr:txBody>
      </xdr:sp>
      <xdr:sp macro="" textlink="">
        <xdr:nvSpPr>
          <xdr:cNvPr id="131" name="Rectangle 305"/>
          <xdr:cNvSpPr>
            <a:spLocks noChangeArrowheads="1"/>
          </xdr:cNvSpPr>
        </xdr:nvSpPr>
        <xdr:spPr bwMode="auto">
          <a:xfrm>
            <a:off x="343" y="266"/>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32" name="Rectangle 306"/>
          <xdr:cNvSpPr>
            <a:spLocks noChangeArrowheads="1"/>
          </xdr:cNvSpPr>
        </xdr:nvSpPr>
        <xdr:spPr bwMode="auto">
          <a:xfrm>
            <a:off x="449" y="266"/>
            <a:ext cx="4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吐水量</a:t>
            </a:r>
          </a:p>
        </xdr:txBody>
      </xdr:sp>
      <xdr:sp macro="" textlink="">
        <xdr:nvSpPr>
          <xdr:cNvPr id="133" name="Rectangle 307"/>
          <xdr:cNvSpPr>
            <a:spLocks noChangeArrowheads="1"/>
          </xdr:cNvSpPr>
        </xdr:nvSpPr>
        <xdr:spPr bwMode="auto">
          <a:xfrm>
            <a:off x="74" y="280"/>
            <a:ext cx="7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　（洗浄弁）</a:t>
            </a:r>
          </a:p>
        </xdr:txBody>
      </xdr:sp>
      <xdr:sp macro="" textlink="">
        <xdr:nvSpPr>
          <xdr:cNvPr id="134" name="Rectangle 308"/>
          <xdr:cNvSpPr>
            <a:spLocks noChangeArrowheads="1"/>
          </xdr:cNvSpPr>
        </xdr:nvSpPr>
        <xdr:spPr bwMode="auto">
          <a:xfrm>
            <a:off x="213" y="280"/>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７０　～　１３０</a:t>
            </a:r>
          </a:p>
        </xdr:txBody>
      </xdr:sp>
      <xdr:sp macro="" textlink="">
        <xdr:nvSpPr>
          <xdr:cNvPr id="135" name="Rectangle 309"/>
          <xdr:cNvSpPr>
            <a:spLocks noChangeArrowheads="1"/>
          </xdr:cNvSpPr>
        </xdr:nvSpPr>
        <xdr:spPr bwMode="auto">
          <a:xfrm>
            <a:off x="343" y="280"/>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２５</a:t>
            </a:r>
          </a:p>
        </xdr:txBody>
      </xdr:sp>
      <xdr:sp macro="" textlink="">
        <xdr:nvSpPr>
          <xdr:cNvPr id="136" name="Rectangle 310"/>
          <xdr:cNvSpPr>
            <a:spLocks noChangeArrowheads="1"/>
          </xdr:cNvSpPr>
        </xdr:nvSpPr>
        <xdr:spPr bwMode="auto">
          <a:xfrm>
            <a:off x="74" y="294"/>
            <a:ext cx="3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手洗器</a:t>
            </a:r>
          </a:p>
        </xdr:txBody>
      </xdr:sp>
      <xdr:sp macro="" textlink="">
        <xdr:nvSpPr>
          <xdr:cNvPr id="137" name="Rectangle 311"/>
          <xdr:cNvSpPr>
            <a:spLocks noChangeArrowheads="1"/>
          </xdr:cNvSpPr>
        </xdr:nvSpPr>
        <xdr:spPr bwMode="auto">
          <a:xfrm>
            <a:off x="212" y="294"/>
            <a:ext cx="5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５　～　１０</a:t>
            </a:r>
          </a:p>
        </xdr:txBody>
      </xdr:sp>
      <xdr:sp macro="" textlink="">
        <xdr:nvSpPr>
          <xdr:cNvPr id="138" name="Rectangle 312"/>
          <xdr:cNvSpPr>
            <a:spLocks noChangeArrowheads="1"/>
          </xdr:cNvSpPr>
        </xdr:nvSpPr>
        <xdr:spPr bwMode="auto">
          <a:xfrm>
            <a:off x="343" y="294"/>
            <a:ext cx="54"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１３</a:t>
            </a:r>
          </a:p>
        </xdr:txBody>
      </xdr:sp>
      <xdr:sp macro="" textlink="">
        <xdr:nvSpPr>
          <xdr:cNvPr id="139" name="Rectangle 313"/>
          <xdr:cNvSpPr>
            <a:spLocks noChangeArrowheads="1"/>
          </xdr:cNvSpPr>
        </xdr:nvSpPr>
        <xdr:spPr bwMode="auto">
          <a:xfrm>
            <a:off x="449" y="294"/>
            <a:ext cx="7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13.5から16.5Ｌ</a:t>
            </a:r>
          </a:p>
        </xdr:txBody>
      </xdr:sp>
      <xdr:sp macro="" textlink="">
        <xdr:nvSpPr>
          <xdr:cNvPr id="140" name="Rectangle 314"/>
          <xdr:cNvSpPr>
            <a:spLocks noChangeArrowheads="1"/>
          </xdr:cNvSpPr>
        </xdr:nvSpPr>
        <xdr:spPr bwMode="auto">
          <a:xfrm>
            <a:off x="74" y="307"/>
            <a:ext cx="6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消火栓（小型）</a:t>
            </a:r>
          </a:p>
        </xdr:txBody>
      </xdr:sp>
      <xdr:sp macro="" textlink="">
        <xdr:nvSpPr>
          <xdr:cNvPr id="141" name="Rectangle 315"/>
          <xdr:cNvSpPr>
            <a:spLocks noChangeArrowheads="1"/>
          </xdr:cNvSpPr>
        </xdr:nvSpPr>
        <xdr:spPr bwMode="auto">
          <a:xfrm>
            <a:off x="205" y="307"/>
            <a:ext cx="6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１３０　～　２６０</a:t>
            </a:r>
          </a:p>
        </xdr:txBody>
      </xdr:sp>
      <xdr:sp macro="" textlink="">
        <xdr:nvSpPr>
          <xdr:cNvPr id="142" name="Rectangle 316"/>
          <xdr:cNvSpPr>
            <a:spLocks noChangeArrowheads="1"/>
          </xdr:cNvSpPr>
        </xdr:nvSpPr>
        <xdr:spPr bwMode="auto">
          <a:xfrm>
            <a:off x="343" y="307"/>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４０　～　５０</a:t>
            </a:r>
          </a:p>
        </xdr:txBody>
      </xdr:sp>
      <xdr:sp macro="" textlink="">
        <xdr:nvSpPr>
          <xdr:cNvPr id="143" name="Rectangle 317"/>
          <xdr:cNvSpPr>
            <a:spLocks noChangeArrowheads="1"/>
          </xdr:cNvSpPr>
        </xdr:nvSpPr>
        <xdr:spPr bwMode="auto">
          <a:xfrm>
            <a:off x="74" y="321"/>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散水</a:t>
            </a:r>
          </a:p>
        </xdr:txBody>
      </xdr:sp>
      <xdr:sp macro="" textlink="">
        <xdr:nvSpPr>
          <xdr:cNvPr id="144" name="Rectangle 318"/>
          <xdr:cNvSpPr>
            <a:spLocks noChangeArrowheads="1"/>
          </xdr:cNvSpPr>
        </xdr:nvSpPr>
        <xdr:spPr bwMode="auto">
          <a:xfrm>
            <a:off x="212" y="321"/>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１５　～　４０</a:t>
            </a:r>
          </a:p>
        </xdr:txBody>
      </xdr:sp>
      <xdr:sp macro="" textlink="">
        <xdr:nvSpPr>
          <xdr:cNvPr id="145" name="Rectangle 319"/>
          <xdr:cNvSpPr>
            <a:spLocks noChangeArrowheads="1"/>
          </xdr:cNvSpPr>
        </xdr:nvSpPr>
        <xdr:spPr bwMode="auto">
          <a:xfrm>
            <a:off x="343" y="321"/>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１３　～　２０</a:t>
            </a:r>
          </a:p>
        </xdr:txBody>
      </xdr:sp>
      <xdr:sp macro="" textlink="">
        <xdr:nvSpPr>
          <xdr:cNvPr id="146" name="Rectangle 320"/>
          <xdr:cNvSpPr>
            <a:spLocks noChangeArrowheads="1"/>
          </xdr:cNvSpPr>
        </xdr:nvSpPr>
        <xdr:spPr bwMode="auto">
          <a:xfrm>
            <a:off x="74" y="335"/>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洗車</a:t>
            </a:r>
          </a:p>
        </xdr:txBody>
      </xdr:sp>
      <xdr:sp macro="" textlink="">
        <xdr:nvSpPr>
          <xdr:cNvPr id="147" name="Rectangle 321"/>
          <xdr:cNvSpPr>
            <a:spLocks noChangeArrowheads="1"/>
          </xdr:cNvSpPr>
        </xdr:nvSpPr>
        <xdr:spPr bwMode="auto">
          <a:xfrm>
            <a:off x="212" y="33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３５　～　６５</a:t>
            </a:r>
          </a:p>
        </xdr:txBody>
      </xdr:sp>
      <xdr:sp macro="" textlink="">
        <xdr:nvSpPr>
          <xdr:cNvPr id="148" name="Rectangle 322"/>
          <xdr:cNvSpPr>
            <a:spLocks noChangeArrowheads="1"/>
          </xdr:cNvSpPr>
        </xdr:nvSpPr>
        <xdr:spPr bwMode="auto">
          <a:xfrm>
            <a:off x="343" y="335"/>
            <a:ext cx="5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２０　～　２５</a:t>
            </a:r>
          </a:p>
        </xdr:txBody>
      </xdr:sp>
      <xdr:sp macro="" textlink="">
        <xdr:nvSpPr>
          <xdr:cNvPr id="149" name="Rectangle 323"/>
          <xdr:cNvSpPr>
            <a:spLocks noChangeArrowheads="1"/>
          </xdr:cNvSpPr>
        </xdr:nvSpPr>
        <xdr:spPr bwMode="auto">
          <a:xfrm>
            <a:off x="449" y="335"/>
            <a:ext cx="3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業務用</a:t>
            </a:r>
          </a:p>
        </xdr:txBody>
      </xdr:sp>
      <xdr:sp macro="" textlink="">
        <xdr:nvSpPr>
          <xdr:cNvPr id="150" name="Line 324"/>
          <xdr:cNvSpPr>
            <a:spLocks noChangeShapeType="1"/>
          </xdr:cNvSpPr>
        </xdr:nvSpPr>
        <xdr:spPr bwMode="auto">
          <a:xfrm>
            <a:off x="72" y="138"/>
            <a:ext cx="0" cy="20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1" name="Rectangle 325"/>
          <xdr:cNvSpPr>
            <a:spLocks noChangeArrowheads="1"/>
          </xdr:cNvSpPr>
        </xdr:nvSpPr>
        <xdr:spPr bwMode="auto">
          <a:xfrm>
            <a:off x="72" y="138"/>
            <a:ext cx="1" cy="20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2" name="Line 326"/>
          <xdr:cNvSpPr>
            <a:spLocks noChangeShapeType="1"/>
          </xdr:cNvSpPr>
        </xdr:nvSpPr>
        <xdr:spPr bwMode="auto">
          <a:xfrm>
            <a:off x="185" y="139"/>
            <a:ext cx="0" cy="20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3" name="Rectangle 327"/>
          <xdr:cNvSpPr>
            <a:spLocks noChangeArrowheads="1"/>
          </xdr:cNvSpPr>
        </xdr:nvSpPr>
        <xdr:spPr bwMode="auto">
          <a:xfrm>
            <a:off x="185" y="139"/>
            <a:ext cx="1" cy="20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4" name="Line 328"/>
          <xdr:cNvSpPr>
            <a:spLocks noChangeShapeType="1"/>
          </xdr:cNvSpPr>
        </xdr:nvSpPr>
        <xdr:spPr bwMode="auto">
          <a:xfrm>
            <a:off x="290" y="139"/>
            <a:ext cx="0" cy="20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 name="Rectangle 329"/>
          <xdr:cNvSpPr>
            <a:spLocks noChangeArrowheads="1"/>
          </xdr:cNvSpPr>
        </xdr:nvSpPr>
        <xdr:spPr bwMode="auto">
          <a:xfrm>
            <a:off x="290" y="139"/>
            <a:ext cx="1" cy="20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6" name="Line 330"/>
          <xdr:cNvSpPr>
            <a:spLocks noChangeShapeType="1"/>
          </xdr:cNvSpPr>
        </xdr:nvSpPr>
        <xdr:spPr bwMode="auto">
          <a:xfrm>
            <a:off x="447" y="139"/>
            <a:ext cx="0" cy="20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7" name="Rectangle 331"/>
          <xdr:cNvSpPr>
            <a:spLocks noChangeArrowheads="1"/>
          </xdr:cNvSpPr>
        </xdr:nvSpPr>
        <xdr:spPr bwMode="auto">
          <a:xfrm>
            <a:off x="447" y="139"/>
            <a:ext cx="1" cy="20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8" name="Line 332"/>
          <xdr:cNvSpPr>
            <a:spLocks noChangeShapeType="1"/>
          </xdr:cNvSpPr>
        </xdr:nvSpPr>
        <xdr:spPr bwMode="auto">
          <a:xfrm>
            <a:off x="543" y="138"/>
            <a:ext cx="0" cy="20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9" name="Rectangle 333"/>
          <xdr:cNvSpPr>
            <a:spLocks noChangeArrowheads="1"/>
          </xdr:cNvSpPr>
        </xdr:nvSpPr>
        <xdr:spPr bwMode="auto">
          <a:xfrm>
            <a:off x="543" y="138"/>
            <a:ext cx="1" cy="20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0" name="Line 334"/>
          <xdr:cNvSpPr>
            <a:spLocks noChangeShapeType="1"/>
          </xdr:cNvSpPr>
        </xdr:nvSpPr>
        <xdr:spPr bwMode="auto">
          <a:xfrm>
            <a:off x="73" y="138"/>
            <a:ext cx="4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1" name="Rectangle 335"/>
          <xdr:cNvSpPr>
            <a:spLocks noChangeArrowheads="1"/>
          </xdr:cNvSpPr>
        </xdr:nvSpPr>
        <xdr:spPr bwMode="auto">
          <a:xfrm>
            <a:off x="73" y="138"/>
            <a:ext cx="4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2" name="Line 336"/>
          <xdr:cNvSpPr>
            <a:spLocks noChangeShapeType="1"/>
          </xdr:cNvSpPr>
        </xdr:nvSpPr>
        <xdr:spPr bwMode="auto">
          <a:xfrm>
            <a:off x="73" y="152"/>
            <a:ext cx="4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3" name="Rectangle 337"/>
          <xdr:cNvSpPr>
            <a:spLocks noChangeArrowheads="1"/>
          </xdr:cNvSpPr>
        </xdr:nvSpPr>
        <xdr:spPr bwMode="auto">
          <a:xfrm>
            <a:off x="73" y="152"/>
            <a:ext cx="4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4" name="Line 338"/>
          <xdr:cNvSpPr>
            <a:spLocks noChangeShapeType="1"/>
          </xdr:cNvSpPr>
        </xdr:nvSpPr>
        <xdr:spPr bwMode="auto">
          <a:xfrm>
            <a:off x="73" y="346"/>
            <a:ext cx="4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5" name="Rectangle 339"/>
          <xdr:cNvSpPr>
            <a:spLocks noChangeArrowheads="1"/>
          </xdr:cNvSpPr>
        </xdr:nvSpPr>
        <xdr:spPr bwMode="auto">
          <a:xfrm>
            <a:off x="73" y="346"/>
            <a:ext cx="4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6" name="Freeform 340"/>
          <xdr:cNvSpPr>
            <a:spLocks/>
          </xdr:cNvSpPr>
        </xdr:nvSpPr>
        <xdr:spPr bwMode="auto">
          <a:xfrm>
            <a:off x="450" y="194"/>
            <a:ext cx="4" cy="38"/>
          </a:xfrm>
          <a:custGeom>
            <a:avLst/>
            <a:gdLst>
              <a:gd name="T0" fmla="*/ 88 w 89"/>
              <a:gd name="T1" fmla="*/ 880 h 880"/>
              <a:gd name="T2" fmla="*/ 60 w 89"/>
              <a:gd name="T3" fmla="*/ 878 h 880"/>
              <a:gd name="T4" fmla="*/ 59 w 89"/>
              <a:gd name="T5" fmla="*/ 878 h 880"/>
              <a:gd name="T6" fmla="*/ 50 w 89"/>
              <a:gd name="T7" fmla="*/ 876 h 880"/>
              <a:gd name="T8" fmla="*/ 47 w 89"/>
              <a:gd name="T9" fmla="*/ 875 h 880"/>
              <a:gd name="T10" fmla="*/ 44 w 89"/>
              <a:gd name="T11" fmla="*/ 873 h 880"/>
              <a:gd name="T12" fmla="*/ 40 w 89"/>
              <a:gd name="T13" fmla="*/ 866 h 880"/>
              <a:gd name="T14" fmla="*/ 40 w 89"/>
              <a:gd name="T15" fmla="*/ 447 h 880"/>
              <a:gd name="T16" fmla="*/ 43 w 89"/>
              <a:gd name="T17" fmla="*/ 453 h 880"/>
              <a:gd name="T18" fmla="*/ 40 w 89"/>
              <a:gd name="T19" fmla="*/ 450 h 880"/>
              <a:gd name="T20" fmla="*/ 44 w 89"/>
              <a:gd name="T21" fmla="*/ 452 h 880"/>
              <a:gd name="T22" fmla="*/ 36 w 89"/>
              <a:gd name="T23" fmla="*/ 450 h 880"/>
              <a:gd name="T24" fmla="*/ 37 w 89"/>
              <a:gd name="T25" fmla="*/ 450 h 880"/>
              <a:gd name="T26" fmla="*/ 8 w 89"/>
              <a:gd name="T27" fmla="*/ 448 h 880"/>
              <a:gd name="T28" fmla="*/ 0 w 89"/>
              <a:gd name="T29" fmla="*/ 440 h 880"/>
              <a:gd name="T30" fmla="*/ 8 w 89"/>
              <a:gd name="T31" fmla="*/ 432 h 880"/>
              <a:gd name="T32" fmla="*/ 37 w 89"/>
              <a:gd name="T33" fmla="*/ 430 h 880"/>
              <a:gd name="T34" fmla="*/ 36 w 89"/>
              <a:gd name="T35" fmla="*/ 431 h 880"/>
              <a:gd name="T36" fmla="*/ 44 w 89"/>
              <a:gd name="T37" fmla="*/ 429 h 880"/>
              <a:gd name="T38" fmla="*/ 41 w 89"/>
              <a:gd name="T39" fmla="*/ 430 h 880"/>
              <a:gd name="T40" fmla="*/ 44 w 89"/>
              <a:gd name="T41" fmla="*/ 428 h 880"/>
              <a:gd name="T42" fmla="*/ 40 w 89"/>
              <a:gd name="T43" fmla="*/ 434 h 880"/>
              <a:gd name="T44" fmla="*/ 40 w 89"/>
              <a:gd name="T45" fmla="*/ 15 h 880"/>
              <a:gd name="T46" fmla="*/ 43 w 89"/>
              <a:gd name="T47" fmla="*/ 10 h 880"/>
              <a:gd name="T48" fmla="*/ 46 w 89"/>
              <a:gd name="T49" fmla="*/ 7 h 880"/>
              <a:gd name="T50" fmla="*/ 50 w 89"/>
              <a:gd name="T51" fmla="*/ 5 h 880"/>
              <a:gd name="T52" fmla="*/ 59 w 89"/>
              <a:gd name="T53" fmla="*/ 3 h 880"/>
              <a:gd name="T54" fmla="*/ 60 w 89"/>
              <a:gd name="T55" fmla="*/ 2 h 880"/>
              <a:gd name="T56" fmla="*/ 88 w 89"/>
              <a:gd name="T57" fmla="*/ 0 h 880"/>
              <a:gd name="T58" fmla="*/ 89 w 89"/>
              <a:gd name="T59" fmla="*/ 16 h 880"/>
              <a:gd name="T60" fmla="*/ 61 w 89"/>
              <a:gd name="T61" fmla="*/ 18 h 880"/>
              <a:gd name="T62" fmla="*/ 62 w 89"/>
              <a:gd name="T63" fmla="*/ 18 h 880"/>
              <a:gd name="T64" fmla="*/ 53 w 89"/>
              <a:gd name="T65" fmla="*/ 20 h 880"/>
              <a:gd name="T66" fmla="*/ 57 w 89"/>
              <a:gd name="T67" fmla="*/ 18 h 880"/>
              <a:gd name="T68" fmla="*/ 54 w 89"/>
              <a:gd name="T69" fmla="*/ 21 h 880"/>
              <a:gd name="T70" fmla="*/ 56 w 89"/>
              <a:gd name="T71" fmla="*/ 15 h 880"/>
              <a:gd name="T72" fmla="*/ 56 w 89"/>
              <a:gd name="T73" fmla="*/ 434 h 880"/>
              <a:gd name="T74" fmla="*/ 53 w 89"/>
              <a:gd name="T75" fmla="*/ 441 h 880"/>
              <a:gd name="T76" fmla="*/ 50 w 89"/>
              <a:gd name="T77" fmla="*/ 443 h 880"/>
              <a:gd name="T78" fmla="*/ 47 w 89"/>
              <a:gd name="T79" fmla="*/ 444 h 880"/>
              <a:gd name="T80" fmla="*/ 39 w 89"/>
              <a:gd name="T81" fmla="*/ 446 h 880"/>
              <a:gd name="T82" fmla="*/ 38 w 89"/>
              <a:gd name="T83" fmla="*/ 446 h 880"/>
              <a:gd name="T84" fmla="*/ 9 w 89"/>
              <a:gd name="T85" fmla="*/ 448 h 880"/>
              <a:gd name="T86" fmla="*/ 9 w 89"/>
              <a:gd name="T87" fmla="*/ 432 h 880"/>
              <a:gd name="T88" fmla="*/ 38 w 89"/>
              <a:gd name="T89" fmla="*/ 434 h 880"/>
              <a:gd name="T90" fmla="*/ 39 w 89"/>
              <a:gd name="T91" fmla="*/ 435 h 880"/>
              <a:gd name="T92" fmla="*/ 47 w 89"/>
              <a:gd name="T93" fmla="*/ 437 h 880"/>
              <a:gd name="T94" fmla="*/ 51 w 89"/>
              <a:gd name="T95" fmla="*/ 439 h 880"/>
              <a:gd name="T96" fmla="*/ 54 w 89"/>
              <a:gd name="T97" fmla="*/ 442 h 880"/>
              <a:gd name="T98" fmla="*/ 56 w 89"/>
              <a:gd name="T99" fmla="*/ 447 h 880"/>
              <a:gd name="T100" fmla="*/ 56 w 89"/>
              <a:gd name="T101" fmla="*/ 866 h 880"/>
              <a:gd name="T102" fmla="*/ 53 w 89"/>
              <a:gd name="T103" fmla="*/ 860 h 880"/>
              <a:gd name="T104" fmla="*/ 56 w 89"/>
              <a:gd name="T105" fmla="*/ 862 h 880"/>
              <a:gd name="T106" fmla="*/ 53 w 89"/>
              <a:gd name="T107" fmla="*/ 861 h 880"/>
              <a:gd name="T108" fmla="*/ 62 w 89"/>
              <a:gd name="T109" fmla="*/ 863 h 880"/>
              <a:gd name="T110" fmla="*/ 61 w 89"/>
              <a:gd name="T111" fmla="*/ 862 h 880"/>
              <a:gd name="T112" fmla="*/ 89 w 89"/>
              <a:gd name="T113" fmla="*/ 864 h 880"/>
              <a:gd name="T114" fmla="*/ 88 w 89"/>
              <a:gd name="T115" fmla="*/ 880 h 8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89" h="880">
                <a:moveTo>
                  <a:pt x="88" y="880"/>
                </a:moveTo>
                <a:lnTo>
                  <a:pt x="60" y="878"/>
                </a:lnTo>
                <a:cubicBezTo>
                  <a:pt x="60" y="878"/>
                  <a:pt x="59" y="878"/>
                  <a:pt x="59" y="878"/>
                </a:cubicBezTo>
                <a:lnTo>
                  <a:pt x="50" y="876"/>
                </a:lnTo>
                <a:cubicBezTo>
                  <a:pt x="49" y="876"/>
                  <a:pt x="48" y="876"/>
                  <a:pt x="47" y="875"/>
                </a:cubicBezTo>
                <a:lnTo>
                  <a:pt x="44" y="873"/>
                </a:lnTo>
                <a:cubicBezTo>
                  <a:pt x="42" y="872"/>
                  <a:pt x="40" y="869"/>
                  <a:pt x="40" y="866"/>
                </a:cubicBezTo>
                <a:lnTo>
                  <a:pt x="40" y="447"/>
                </a:lnTo>
                <a:lnTo>
                  <a:pt x="43" y="453"/>
                </a:lnTo>
                <a:lnTo>
                  <a:pt x="40" y="450"/>
                </a:lnTo>
                <a:lnTo>
                  <a:pt x="44" y="452"/>
                </a:lnTo>
                <a:lnTo>
                  <a:pt x="36" y="450"/>
                </a:lnTo>
                <a:lnTo>
                  <a:pt x="37" y="450"/>
                </a:lnTo>
                <a:lnTo>
                  <a:pt x="8" y="448"/>
                </a:lnTo>
                <a:cubicBezTo>
                  <a:pt x="4" y="448"/>
                  <a:pt x="0" y="445"/>
                  <a:pt x="0" y="440"/>
                </a:cubicBezTo>
                <a:cubicBezTo>
                  <a:pt x="0" y="436"/>
                  <a:pt x="4" y="433"/>
                  <a:pt x="8" y="432"/>
                </a:cubicBezTo>
                <a:lnTo>
                  <a:pt x="37" y="430"/>
                </a:lnTo>
                <a:lnTo>
                  <a:pt x="36" y="431"/>
                </a:lnTo>
                <a:lnTo>
                  <a:pt x="44" y="429"/>
                </a:lnTo>
                <a:lnTo>
                  <a:pt x="41" y="430"/>
                </a:lnTo>
                <a:lnTo>
                  <a:pt x="44" y="428"/>
                </a:lnTo>
                <a:lnTo>
                  <a:pt x="40" y="434"/>
                </a:lnTo>
                <a:lnTo>
                  <a:pt x="40" y="15"/>
                </a:lnTo>
                <a:cubicBezTo>
                  <a:pt x="40" y="13"/>
                  <a:pt x="41" y="11"/>
                  <a:pt x="43" y="10"/>
                </a:cubicBezTo>
                <a:lnTo>
                  <a:pt x="46" y="7"/>
                </a:lnTo>
                <a:cubicBezTo>
                  <a:pt x="47" y="6"/>
                  <a:pt x="48" y="5"/>
                  <a:pt x="50" y="5"/>
                </a:cubicBezTo>
                <a:lnTo>
                  <a:pt x="59" y="3"/>
                </a:lnTo>
                <a:cubicBezTo>
                  <a:pt x="59" y="3"/>
                  <a:pt x="60" y="3"/>
                  <a:pt x="60" y="2"/>
                </a:cubicBezTo>
                <a:lnTo>
                  <a:pt x="88" y="0"/>
                </a:lnTo>
                <a:lnTo>
                  <a:pt x="89" y="16"/>
                </a:lnTo>
                <a:lnTo>
                  <a:pt x="61" y="18"/>
                </a:lnTo>
                <a:lnTo>
                  <a:pt x="62" y="18"/>
                </a:lnTo>
                <a:lnTo>
                  <a:pt x="53" y="20"/>
                </a:lnTo>
                <a:lnTo>
                  <a:pt x="57" y="18"/>
                </a:lnTo>
                <a:lnTo>
                  <a:pt x="54" y="21"/>
                </a:lnTo>
                <a:lnTo>
                  <a:pt x="56" y="15"/>
                </a:lnTo>
                <a:lnTo>
                  <a:pt x="56" y="434"/>
                </a:lnTo>
                <a:cubicBezTo>
                  <a:pt x="56" y="437"/>
                  <a:pt x="55" y="440"/>
                  <a:pt x="53" y="441"/>
                </a:cubicBezTo>
                <a:lnTo>
                  <a:pt x="50" y="443"/>
                </a:lnTo>
                <a:cubicBezTo>
                  <a:pt x="49" y="444"/>
                  <a:pt x="48" y="444"/>
                  <a:pt x="47" y="444"/>
                </a:cubicBezTo>
                <a:lnTo>
                  <a:pt x="39" y="446"/>
                </a:lnTo>
                <a:cubicBezTo>
                  <a:pt x="39" y="446"/>
                  <a:pt x="38" y="446"/>
                  <a:pt x="38" y="446"/>
                </a:cubicBezTo>
                <a:lnTo>
                  <a:pt x="9" y="448"/>
                </a:lnTo>
                <a:lnTo>
                  <a:pt x="9" y="432"/>
                </a:lnTo>
                <a:lnTo>
                  <a:pt x="38" y="434"/>
                </a:lnTo>
                <a:cubicBezTo>
                  <a:pt x="38" y="435"/>
                  <a:pt x="39" y="435"/>
                  <a:pt x="39" y="435"/>
                </a:cubicBezTo>
                <a:lnTo>
                  <a:pt x="47" y="437"/>
                </a:lnTo>
                <a:cubicBezTo>
                  <a:pt x="49" y="437"/>
                  <a:pt x="50" y="438"/>
                  <a:pt x="51" y="439"/>
                </a:cubicBezTo>
                <a:lnTo>
                  <a:pt x="54" y="442"/>
                </a:lnTo>
                <a:cubicBezTo>
                  <a:pt x="56" y="443"/>
                  <a:pt x="56" y="445"/>
                  <a:pt x="56" y="447"/>
                </a:cubicBezTo>
                <a:lnTo>
                  <a:pt x="56" y="866"/>
                </a:lnTo>
                <a:lnTo>
                  <a:pt x="53" y="860"/>
                </a:lnTo>
                <a:lnTo>
                  <a:pt x="56" y="862"/>
                </a:lnTo>
                <a:lnTo>
                  <a:pt x="53" y="861"/>
                </a:lnTo>
                <a:lnTo>
                  <a:pt x="62" y="863"/>
                </a:lnTo>
                <a:lnTo>
                  <a:pt x="61" y="862"/>
                </a:lnTo>
                <a:lnTo>
                  <a:pt x="89" y="864"/>
                </a:lnTo>
                <a:lnTo>
                  <a:pt x="88" y="880"/>
                </a:lnTo>
                <a:close/>
              </a:path>
            </a:pathLst>
          </a:custGeom>
          <a:solidFill>
            <a:srgbClr val="000000"/>
          </a:solidFill>
          <a:ln w="0" cap="flat">
            <a:solidFill>
              <a:srgbClr val="000000"/>
            </a:solidFill>
            <a:prstDash val="solid"/>
            <a:round/>
            <a:headEnd/>
            <a:tailEnd/>
          </a:ln>
        </xdr:spPr>
      </xdr:sp>
      <xdr:sp macro="" textlink="">
        <xdr:nvSpPr>
          <xdr:cNvPr id="167" name="Freeform 341"/>
          <xdr:cNvSpPr>
            <a:spLocks/>
          </xdr:cNvSpPr>
        </xdr:nvSpPr>
        <xdr:spPr bwMode="auto">
          <a:xfrm>
            <a:off x="449" y="239"/>
            <a:ext cx="5" cy="66"/>
          </a:xfrm>
          <a:custGeom>
            <a:avLst/>
            <a:gdLst>
              <a:gd name="T0" fmla="*/ 104 w 105"/>
              <a:gd name="T1" fmla="*/ 1520 h 1520"/>
              <a:gd name="T2" fmla="*/ 70 w 105"/>
              <a:gd name="T3" fmla="*/ 1518 h 1520"/>
              <a:gd name="T4" fmla="*/ 68 w 105"/>
              <a:gd name="T5" fmla="*/ 1518 h 1520"/>
              <a:gd name="T6" fmla="*/ 58 w 105"/>
              <a:gd name="T7" fmla="*/ 1515 h 1520"/>
              <a:gd name="T8" fmla="*/ 56 w 105"/>
              <a:gd name="T9" fmla="*/ 1514 h 1520"/>
              <a:gd name="T10" fmla="*/ 52 w 105"/>
              <a:gd name="T11" fmla="*/ 1511 h 1520"/>
              <a:gd name="T12" fmla="*/ 48 w 105"/>
              <a:gd name="T13" fmla="*/ 1504 h 1520"/>
              <a:gd name="T14" fmla="*/ 48 w 105"/>
              <a:gd name="T15" fmla="*/ 768 h 1520"/>
              <a:gd name="T16" fmla="*/ 52 w 105"/>
              <a:gd name="T17" fmla="*/ 775 h 1520"/>
              <a:gd name="T18" fmla="*/ 48 w 105"/>
              <a:gd name="T19" fmla="*/ 772 h 1520"/>
              <a:gd name="T20" fmla="*/ 51 w 105"/>
              <a:gd name="T21" fmla="*/ 773 h 1520"/>
              <a:gd name="T22" fmla="*/ 41 w 105"/>
              <a:gd name="T23" fmla="*/ 771 h 1520"/>
              <a:gd name="T24" fmla="*/ 8 w 105"/>
              <a:gd name="T25" fmla="*/ 768 h 1520"/>
              <a:gd name="T26" fmla="*/ 0 w 105"/>
              <a:gd name="T27" fmla="*/ 760 h 1520"/>
              <a:gd name="T28" fmla="*/ 8 w 105"/>
              <a:gd name="T29" fmla="*/ 752 h 1520"/>
              <a:gd name="T30" fmla="*/ 42 w 105"/>
              <a:gd name="T31" fmla="*/ 750 h 1520"/>
              <a:gd name="T32" fmla="*/ 40 w 105"/>
              <a:gd name="T33" fmla="*/ 751 h 1520"/>
              <a:gd name="T34" fmla="*/ 50 w 105"/>
              <a:gd name="T35" fmla="*/ 748 h 1520"/>
              <a:gd name="T36" fmla="*/ 48 w 105"/>
              <a:gd name="T37" fmla="*/ 749 h 1520"/>
              <a:gd name="T38" fmla="*/ 52 w 105"/>
              <a:gd name="T39" fmla="*/ 746 h 1520"/>
              <a:gd name="T40" fmla="*/ 48 w 105"/>
              <a:gd name="T41" fmla="*/ 752 h 1520"/>
              <a:gd name="T42" fmla="*/ 48 w 105"/>
              <a:gd name="T43" fmla="*/ 16 h 1520"/>
              <a:gd name="T44" fmla="*/ 52 w 105"/>
              <a:gd name="T45" fmla="*/ 10 h 1520"/>
              <a:gd name="T46" fmla="*/ 56 w 105"/>
              <a:gd name="T47" fmla="*/ 7 h 1520"/>
              <a:gd name="T48" fmla="*/ 59 w 105"/>
              <a:gd name="T49" fmla="*/ 6 h 1520"/>
              <a:gd name="T50" fmla="*/ 69 w 105"/>
              <a:gd name="T51" fmla="*/ 4 h 1520"/>
              <a:gd name="T52" fmla="*/ 104 w 105"/>
              <a:gd name="T53" fmla="*/ 0 h 1520"/>
              <a:gd name="T54" fmla="*/ 105 w 105"/>
              <a:gd name="T55" fmla="*/ 16 h 1520"/>
              <a:gd name="T56" fmla="*/ 72 w 105"/>
              <a:gd name="T57" fmla="*/ 19 h 1520"/>
              <a:gd name="T58" fmla="*/ 62 w 105"/>
              <a:gd name="T59" fmla="*/ 21 h 1520"/>
              <a:gd name="T60" fmla="*/ 65 w 105"/>
              <a:gd name="T61" fmla="*/ 20 h 1520"/>
              <a:gd name="T62" fmla="*/ 61 w 105"/>
              <a:gd name="T63" fmla="*/ 23 h 1520"/>
              <a:gd name="T64" fmla="*/ 64 w 105"/>
              <a:gd name="T65" fmla="*/ 16 h 1520"/>
              <a:gd name="T66" fmla="*/ 64 w 105"/>
              <a:gd name="T67" fmla="*/ 752 h 1520"/>
              <a:gd name="T68" fmla="*/ 61 w 105"/>
              <a:gd name="T69" fmla="*/ 759 h 1520"/>
              <a:gd name="T70" fmla="*/ 57 w 105"/>
              <a:gd name="T71" fmla="*/ 762 h 1520"/>
              <a:gd name="T72" fmla="*/ 55 w 105"/>
              <a:gd name="T73" fmla="*/ 763 h 1520"/>
              <a:gd name="T74" fmla="*/ 45 w 105"/>
              <a:gd name="T75" fmla="*/ 766 h 1520"/>
              <a:gd name="T76" fmla="*/ 43 w 105"/>
              <a:gd name="T77" fmla="*/ 766 h 1520"/>
              <a:gd name="T78" fmla="*/ 9 w 105"/>
              <a:gd name="T79" fmla="*/ 768 h 1520"/>
              <a:gd name="T80" fmla="*/ 9 w 105"/>
              <a:gd name="T81" fmla="*/ 752 h 1520"/>
              <a:gd name="T82" fmla="*/ 44 w 105"/>
              <a:gd name="T83" fmla="*/ 756 h 1520"/>
              <a:gd name="T84" fmla="*/ 54 w 105"/>
              <a:gd name="T85" fmla="*/ 758 h 1520"/>
              <a:gd name="T86" fmla="*/ 57 w 105"/>
              <a:gd name="T87" fmla="*/ 759 h 1520"/>
              <a:gd name="T88" fmla="*/ 61 w 105"/>
              <a:gd name="T89" fmla="*/ 762 h 1520"/>
              <a:gd name="T90" fmla="*/ 64 w 105"/>
              <a:gd name="T91" fmla="*/ 768 h 1520"/>
              <a:gd name="T92" fmla="*/ 64 w 105"/>
              <a:gd name="T93" fmla="*/ 1504 h 1520"/>
              <a:gd name="T94" fmla="*/ 61 w 105"/>
              <a:gd name="T95" fmla="*/ 1498 h 1520"/>
              <a:gd name="T96" fmla="*/ 65 w 105"/>
              <a:gd name="T97" fmla="*/ 1501 h 1520"/>
              <a:gd name="T98" fmla="*/ 63 w 105"/>
              <a:gd name="T99" fmla="*/ 1500 h 1520"/>
              <a:gd name="T100" fmla="*/ 73 w 105"/>
              <a:gd name="T101" fmla="*/ 1503 h 1520"/>
              <a:gd name="T102" fmla="*/ 71 w 105"/>
              <a:gd name="T103" fmla="*/ 1502 h 1520"/>
              <a:gd name="T104" fmla="*/ 105 w 105"/>
              <a:gd name="T105" fmla="*/ 1504 h 1520"/>
              <a:gd name="T106" fmla="*/ 104 w 105"/>
              <a:gd name="T107" fmla="*/ 1520 h 15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05" h="1520">
                <a:moveTo>
                  <a:pt x="104" y="1520"/>
                </a:moveTo>
                <a:lnTo>
                  <a:pt x="70" y="1518"/>
                </a:lnTo>
                <a:cubicBezTo>
                  <a:pt x="69" y="1518"/>
                  <a:pt x="69" y="1518"/>
                  <a:pt x="68" y="1518"/>
                </a:cubicBezTo>
                <a:lnTo>
                  <a:pt x="58" y="1515"/>
                </a:lnTo>
                <a:cubicBezTo>
                  <a:pt x="57" y="1515"/>
                  <a:pt x="56" y="1514"/>
                  <a:pt x="56" y="1514"/>
                </a:cubicBezTo>
                <a:lnTo>
                  <a:pt x="52" y="1511"/>
                </a:lnTo>
                <a:cubicBezTo>
                  <a:pt x="50" y="1509"/>
                  <a:pt x="48" y="1507"/>
                  <a:pt x="48" y="1504"/>
                </a:cubicBezTo>
                <a:lnTo>
                  <a:pt x="48" y="768"/>
                </a:lnTo>
                <a:lnTo>
                  <a:pt x="52" y="775"/>
                </a:lnTo>
                <a:lnTo>
                  <a:pt x="48" y="772"/>
                </a:lnTo>
                <a:lnTo>
                  <a:pt x="51" y="773"/>
                </a:lnTo>
                <a:lnTo>
                  <a:pt x="41" y="771"/>
                </a:lnTo>
                <a:lnTo>
                  <a:pt x="8" y="768"/>
                </a:lnTo>
                <a:cubicBezTo>
                  <a:pt x="4" y="768"/>
                  <a:pt x="0" y="765"/>
                  <a:pt x="0" y="760"/>
                </a:cubicBezTo>
                <a:cubicBezTo>
                  <a:pt x="1" y="756"/>
                  <a:pt x="4" y="753"/>
                  <a:pt x="8" y="752"/>
                </a:cubicBezTo>
                <a:lnTo>
                  <a:pt x="42" y="750"/>
                </a:lnTo>
                <a:lnTo>
                  <a:pt x="40" y="751"/>
                </a:lnTo>
                <a:lnTo>
                  <a:pt x="50" y="748"/>
                </a:lnTo>
                <a:lnTo>
                  <a:pt x="48" y="749"/>
                </a:lnTo>
                <a:lnTo>
                  <a:pt x="52" y="746"/>
                </a:lnTo>
                <a:lnTo>
                  <a:pt x="48" y="752"/>
                </a:lnTo>
                <a:lnTo>
                  <a:pt x="48" y="16"/>
                </a:lnTo>
                <a:cubicBezTo>
                  <a:pt x="48" y="14"/>
                  <a:pt x="50" y="12"/>
                  <a:pt x="52" y="10"/>
                </a:cubicBezTo>
                <a:lnTo>
                  <a:pt x="56" y="7"/>
                </a:lnTo>
                <a:cubicBezTo>
                  <a:pt x="57" y="6"/>
                  <a:pt x="58" y="6"/>
                  <a:pt x="59" y="6"/>
                </a:cubicBezTo>
                <a:lnTo>
                  <a:pt x="69" y="4"/>
                </a:lnTo>
                <a:lnTo>
                  <a:pt x="104" y="0"/>
                </a:lnTo>
                <a:lnTo>
                  <a:pt x="105" y="16"/>
                </a:lnTo>
                <a:lnTo>
                  <a:pt x="72" y="19"/>
                </a:lnTo>
                <a:lnTo>
                  <a:pt x="62" y="21"/>
                </a:lnTo>
                <a:lnTo>
                  <a:pt x="65" y="20"/>
                </a:lnTo>
                <a:lnTo>
                  <a:pt x="61" y="23"/>
                </a:lnTo>
                <a:lnTo>
                  <a:pt x="64" y="16"/>
                </a:lnTo>
                <a:lnTo>
                  <a:pt x="64" y="752"/>
                </a:lnTo>
                <a:cubicBezTo>
                  <a:pt x="64" y="755"/>
                  <a:pt x="63" y="757"/>
                  <a:pt x="61" y="759"/>
                </a:cubicBezTo>
                <a:lnTo>
                  <a:pt x="57" y="762"/>
                </a:lnTo>
                <a:cubicBezTo>
                  <a:pt x="57" y="762"/>
                  <a:pt x="56" y="763"/>
                  <a:pt x="55" y="763"/>
                </a:cubicBezTo>
                <a:lnTo>
                  <a:pt x="45" y="766"/>
                </a:lnTo>
                <a:cubicBezTo>
                  <a:pt x="44" y="766"/>
                  <a:pt x="44" y="766"/>
                  <a:pt x="43" y="766"/>
                </a:cubicBezTo>
                <a:lnTo>
                  <a:pt x="9" y="768"/>
                </a:lnTo>
                <a:lnTo>
                  <a:pt x="9" y="752"/>
                </a:lnTo>
                <a:lnTo>
                  <a:pt x="44" y="756"/>
                </a:lnTo>
                <a:lnTo>
                  <a:pt x="54" y="758"/>
                </a:lnTo>
                <a:cubicBezTo>
                  <a:pt x="55" y="758"/>
                  <a:pt x="56" y="758"/>
                  <a:pt x="57" y="759"/>
                </a:cubicBezTo>
                <a:lnTo>
                  <a:pt x="61" y="762"/>
                </a:lnTo>
                <a:cubicBezTo>
                  <a:pt x="63" y="764"/>
                  <a:pt x="64" y="766"/>
                  <a:pt x="64" y="768"/>
                </a:cubicBezTo>
                <a:lnTo>
                  <a:pt x="64" y="1504"/>
                </a:lnTo>
                <a:lnTo>
                  <a:pt x="61" y="1498"/>
                </a:lnTo>
                <a:lnTo>
                  <a:pt x="65" y="1501"/>
                </a:lnTo>
                <a:lnTo>
                  <a:pt x="63" y="1500"/>
                </a:lnTo>
                <a:lnTo>
                  <a:pt x="73" y="1503"/>
                </a:lnTo>
                <a:lnTo>
                  <a:pt x="71" y="1502"/>
                </a:lnTo>
                <a:lnTo>
                  <a:pt x="105" y="1504"/>
                </a:lnTo>
                <a:lnTo>
                  <a:pt x="104" y="1520"/>
                </a:lnTo>
                <a:close/>
              </a:path>
            </a:pathLst>
          </a:custGeom>
          <a:solidFill>
            <a:srgbClr val="000000"/>
          </a:solidFill>
          <a:ln w="0" cap="flat">
            <a:solidFill>
              <a:srgbClr val="000000"/>
            </a:solidFill>
            <a:prstDash val="solid"/>
            <a:round/>
            <a:headEnd/>
            <a:tailEnd/>
          </a:ln>
        </xdr:spPr>
      </xdr:sp>
    </xdr:grpSp>
    <xdr:clientData/>
  </xdr:twoCellAnchor>
  <xdr:oneCellAnchor>
    <xdr:from>
      <xdr:col>0</xdr:col>
      <xdr:colOff>0</xdr:colOff>
      <xdr:row>32</xdr:row>
      <xdr:rowOff>19050</xdr:rowOff>
    </xdr:from>
    <xdr:ext cx="6188710" cy="307340"/>
    <xdr:pic>
      <xdr:nvPicPr>
        <xdr:cNvPr id="168" name="図 167"/>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34000"/>
          <a:ext cx="6188710" cy="307340"/>
        </a:xfrm>
        <a:prstGeom prst="rect">
          <a:avLst/>
        </a:prstGeom>
        <a:noFill/>
        <a:ln>
          <a:noFill/>
        </a:ln>
      </xdr:spPr>
    </xdr:pic>
    <xdr:clientData/>
  </xdr:oneCellAnchor>
  <xdr:oneCellAnchor>
    <xdr:from>
      <xdr:col>0</xdr:col>
      <xdr:colOff>0</xdr:colOff>
      <xdr:row>72</xdr:row>
      <xdr:rowOff>0</xdr:rowOff>
    </xdr:from>
    <xdr:ext cx="2743200" cy="420212"/>
    <mc:AlternateContent xmlns:mc="http://schemas.openxmlformats.org/markup-compatibility/2006" xmlns:a14="http://schemas.microsoft.com/office/drawing/2010/main">
      <mc:Choice Requires="a14">
        <xdr:sp macro="" textlink="">
          <xdr:nvSpPr>
            <xdr:cNvPr id="169" name="テキスト ボックス 168"/>
            <xdr:cNvSpPr txBox="1"/>
          </xdr:nvSpPr>
          <xdr:spPr>
            <a:xfrm>
              <a:off x="9439275" y="12058650"/>
              <a:ext cx="2743200" cy="420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14:m>
                <m:oMath xmlns:m="http://schemas.openxmlformats.org/officeDocument/2006/math">
                  <m:r>
                    <a:rPr kumimoji="1" lang="ja-JP" altLang="en-US" sz="1100" b="0" i="1">
                      <a:latin typeface="Cambria Math"/>
                    </a:rPr>
                    <m:t>h</m:t>
                  </m:r>
                  <m:r>
                    <a:rPr kumimoji="1" lang="en-US" altLang="ja-JP" sz="1100" i="1">
                      <a:latin typeface="Cambria Math"/>
                    </a:rPr>
                    <m:t>=10.666</m:t>
                  </m:r>
                  <m:r>
                    <a:rPr kumimoji="1" lang="en-US" altLang="ja-JP" sz="1100" b="0" i="1">
                      <a:latin typeface="Cambria Math"/>
                    </a:rPr>
                    <m:t>×</m:t>
                  </m:r>
                  <m:sSup>
                    <m:sSupPr>
                      <m:ctrlPr>
                        <a:rPr kumimoji="1" lang="en-US" altLang="ja-JP" sz="1100" i="1">
                          <a:latin typeface="Cambria Math" panose="02040503050406030204" pitchFamily="18" charset="0"/>
                        </a:rPr>
                      </m:ctrlPr>
                    </m:sSupPr>
                    <m:e>
                      <m:r>
                        <a:rPr kumimoji="1" lang="en-US" altLang="ja-JP" sz="1100" b="0" i="1">
                          <a:latin typeface="Cambria Math"/>
                        </a:rPr>
                        <m:t>𝐶</m:t>
                      </m:r>
                    </m:e>
                    <m:sup>
                      <m:r>
                        <a:rPr kumimoji="1" lang="en-US" altLang="ja-JP" sz="1100" i="1">
                          <a:latin typeface="Cambria Math"/>
                        </a:rPr>
                        <m:t>−1.85</m:t>
                      </m:r>
                    </m:sup>
                  </m:sSup>
                  <m:r>
                    <a:rPr kumimoji="1" lang="en-US" altLang="ja-JP" sz="1100" b="0" i="1">
                      <a:solidFill>
                        <a:schemeClr val="tx1"/>
                      </a:solidFill>
                      <a:effectLst/>
                      <a:latin typeface="Cambria Math"/>
                      <a:ea typeface="+mn-ea"/>
                      <a:cs typeface="+mn-cs"/>
                    </a:rPr>
                    <m:t>×</m:t>
                  </m:r>
                  <m:sSup>
                    <m:sSupPr>
                      <m:ctrlPr>
                        <a:rPr kumimoji="1" lang="en-US" altLang="ja-JP" sz="1100" i="1">
                          <a:solidFill>
                            <a:schemeClr val="tx1"/>
                          </a:solidFill>
                          <a:effectLst/>
                          <a:latin typeface="Cambria Math" panose="02040503050406030204" pitchFamily="18" charset="0"/>
                          <a:ea typeface="+mn-ea"/>
                          <a:cs typeface="+mn-cs"/>
                        </a:rPr>
                      </m:ctrlPr>
                    </m:sSupPr>
                    <m:e>
                      <m:r>
                        <m:rPr>
                          <m:sty m:val="p"/>
                        </m:rPr>
                        <a:rPr kumimoji="1" lang="en-US" altLang="ja-JP" sz="1100" i="1">
                          <a:solidFill>
                            <a:schemeClr val="tx1"/>
                          </a:solidFill>
                          <a:effectLst/>
                          <a:latin typeface="Cambria Math"/>
                          <a:ea typeface="+mn-ea"/>
                          <a:cs typeface="+mn-cs"/>
                        </a:rPr>
                        <m:t>D</m:t>
                      </m:r>
                    </m:e>
                    <m:sup>
                      <m:r>
                        <a:rPr kumimoji="1" lang="en-US" altLang="ja-JP" sz="1100" i="1">
                          <a:solidFill>
                            <a:schemeClr val="tx1"/>
                          </a:solidFill>
                          <a:effectLst/>
                          <a:latin typeface="Cambria Math"/>
                          <a:ea typeface="+mn-ea"/>
                          <a:cs typeface="+mn-cs"/>
                        </a:rPr>
                        <m:t>−4.87</m:t>
                      </m:r>
                    </m:sup>
                  </m:sSup>
                  <m:r>
                    <a:rPr kumimoji="1" lang="en-US" altLang="ja-JP" sz="1100" b="0" i="1">
                      <a:solidFill>
                        <a:schemeClr val="tx1"/>
                      </a:solidFill>
                      <a:effectLst/>
                      <a:latin typeface="Cambria Math"/>
                      <a:ea typeface="+mn-ea"/>
                      <a:cs typeface="+mn-cs"/>
                    </a:rPr>
                    <m:t>×</m:t>
                  </m:r>
                  <m:sSup>
                    <m:sSupPr>
                      <m:ctrlPr>
                        <a:rPr kumimoji="1" lang="en-US" altLang="ja-JP" sz="1100" i="1">
                          <a:solidFill>
                            <a:schemeClr val="tx1"/>
                          </a:solidFill>
                          <a:effectLst/>
                          <a:latin typeface="Cambria Math" panose="02040503050406030204" pitchFamily="18" charset="0"/>
                          <a:ea typeface="+mn-ea"/>
                          <a:cs typeface="+mn-cs"/>
                        </a:rPr>
                      </m:ctrlPr>
                    </m:sSupPr>
                    <m:e>
                      <m:r>
                        <a:rPr kumimoji="1" lang="en-US" altLang="ja-JP" sz="1100" b="0" i="1">
                          <a:solidFill>
                            <a:schemeClr val="tx1"/>
                          </a:solidFill>
                          <a:effectLst/>
                          <a:latin typeface="Cambria Math"/>
                          <a:ea typeface="+mn-ea"/>
                          <a:cs typeface="+mn-cs"/>
                        </a:rPr>
                        <m:t>𝑄</m:t>
                      </m:r>
                    </m:e>
                    <m:sup>
                      <m:r>
                        <a:rPr kumimoji="1" lang="en-US" altLang="ja-JP" sz="1100" i="1">
                          <a:solidFill>
                            <a:schemeClr val="tx1"/>
                          </a:solidFill>
                          <a:effectLst/>
                          <a:latin typeface="Cambria Math"/>
                          <a:ea typeface="+mn-ea"/>
                          <a:cs typeface="+mn-cs"/>
                        </a:rPr>
                        <m:t>1.85</m:t>
                      </m:r>
                    </m:sup>
                  </m:sSup>
                  <m:r>
                    <a:rPr kumimoji="1" lang="en-US" altLang="ja-JP" sz="1100" b="0" i="1">
                      <a:solidFill>
                        <a:schemeClr val="tx1"/>
                      </a:solidFill>
                      <a:effectLst/>
                      <a:latin typeface="Cambria Math"/>
                      <a:ea typeface="+mn-ea"/>
                      <a:cs typeface="+mn-cs"/>
                    </a:rPr>
                    <m:t>×</m:t>
                  </m:r>
                  <m:r>
                    <a:rPr kumimoji="1" lang="ja-JP" altLang="en-US" sz="1100" b="0" i="1">
                      <a:solidFill>
                        <a:schemeClr val="tx1"/>
                      </a:solidFill>
                      <a:effectLst/>
                      <a:latin typeface="Cambria Math"/>
                      <a:ea typeface="+mn-ea"/>
                      <a:cs typeface="+mn-cs"/>
                    </a:rPr>
                    <m:t>𝐿</m:t>
                  </m:r>
                </m:oMath>
              </a14:m>
              <a:r>
                <a:rPr kumimoji="1" lang="ja-JP" altLang="en-US" sz="1100"/>
                <a:t>　</a:t>
              </a:r>
            </a:p>
          </xdr:txBody>
        </xdr:sp>
      </mc:Choice>
      <mc:Fallback xmlns="">
        <xdr:sp macro="" textlink="">
          <xdr:nvSpPr>
            <xdr:cNvPr id="169" name="テキスト ボックス 168"/>
            <xdr:cNvSpPr txBox="1"/>
          </xdr:nvSpPr>
          <xdr:spPr>
            <a:xfrm>
              <a:off x="9439275" y="12058650"/>
              <a:ext cx="2743200" cy="420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r>
                <a:rPr kumimoji="1" lang="ja-JP" altLang="en-US" sz="1100" b="0" i="0">
                  <a:latin typeface="Cambria Math"/>
                </a:rPr>
                <a:t>ℎ</a:t>
              </a:r>
              <a:r>
                <a:rPr kumimoji="1" lang="en-US" altLang="ja-JP" sz="1100" i="0">
                  <a:latin typeface="Cambria Math"/>
                </a:rPr>
                <a:t>=10.666</a:t>
              </a:r>
              <a:r>
                <a:rPr kumimoji="1" lang="en-US" altLang="ja-JP" sz="1100" b="0" i="0">
                  <a:latin typeface="Cambria Math"/>
                </a:rPr>
                <a:t>×𝐶</a:t>
              </a:r>
              <a:r>
                <a:rPr kumimoji="1" lang="en-US" altLang="ja-JP" sz="1100" b="0" i="0">
                  <a:latin typeface="Cambria Math" panose="02040503050406030204" pitchFamily="18" charset="0"/>
                </a:rPr>
                <a:t>^(</a:t>
              </a:r>
              <a:r>
                <a:rPr kumimoji="1" lang="en-US" altLang="ja-JP" sz="1100" i="0">
                  <a:latin typeface="Cambria Math"/>
                </a:rPr>
                <a:t>−1.85</a:t>
              </a:r>
              <a:r>
                <a:rPr kumimoji="1" lang="en-US" altLang="ja-JP" sz="1100" i="0">
                  <a:latin typeface="Cambria Math" panose="02040503050406030204" pitchFamily="18" charset="0"/>
                </a:rPr>
                <a:t>)</a:t>
              </a:r>
              <a:r>
                <a:rPr kumimoji="1" lang="en-US" altLang="ja-JP" sz="1100" b="0" i="0">
                  <a:solidFill>
                    <a:schemeClr val="tx1"/>
                  </a:solidFill>
                  <a:effectLst/>
                  <a:latin typeface="Cambria Math"/>
                  <a:ea typeface="+mn-ea"/>
                  <a:cs typeface="+mn-cs"/>
                </a:rPr>
                <a:t>×</a:t>
              </a:r>
              <a:r>
                <a:rPr kumimoji="1" lang="en-US" altLang="ja-JP" sz="1100" i="0">
                  <a:solidFill>
                    <a:schemeClr val="tx1"/>
                  </a:solidFill>
                  <a:effectLst/>
                  <a:latin typeface="Cambria Math"/>
                  <a:ea typeface="+mn-ea"/>
                  <a:cs typeface="+mn-cs"/>
                </a:rPr>
                <a:t>D</a:t>
              </a:r>
              <a:r>
                <a:rPr kumimoji="1" lang="en-US" altLang="ja-JP" sz="1100" i="0">
                  <a:solidFill>
                    <a:schemeClr val="tx1"/>
                  </a:solidFill>
                  <a:effectLst/>
                  <a:latin typeface="Cambria Math" panose="02040503050406030204" pitchFamily="18" charset="0"/>
                  <a:ea typeface="+mn-ea"/>
                  <a:cs typeface="+mn-cs"/>
                </a:rPr>
                <a:t>^(</a:t>
              </a:r>
              <a:r>
                <a:rPr kumimoji="1" lang="en-US" altLang="ja-JP" sz="1100" i="0">
                  <a:solidFill>
                    <a:schemeClr val="tx1"/>
                  </a:solidFill>
                  <a:effectLst/>
                  <a:latin typeface="Cambria Math"/>
                  <a:ea typeface="+mn-ea"/>
                  <a:cs typeface="+mn-cs"/>
                </a:rPr>
                <a:t>−4.87</a:t>
              </a:r>
              <a:r>
                <a:rPr kumimoji="1" lang="en-US" altLang="ja-JP" sz="110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Cambria Math"/>
                  <a:ea typeface="+mn-ea"/>
                  <a:cs typeface="+mn-cs"/>
                </a:rPr>
                <a:t>×𝑄</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i="0">
                  <a:solidFill>
                    <a:schemeClr val="tx1"/>
                  </a:solidFill>
                  <a:effectLst/>
                  <a:latin typeface="Cambria Math"/>
                  <a:ea typeface="+mn-ea"/>
                  <a:cs typeface="+mn-cs"/>
                </a:rPr>
                <a:t>1.85</a:t>
              </a:r>
              <a:r>
                <a:rPr kumimoji="1" lang="en-US" altLang="ja-JP" sz="1100" b="0" i="0">
                  <a:solidFill>
                    <a:schemeClr val="tx1"/>
                  </a:solidFill>
                  <a:effectLst/>
                  <a:latin typeface="Cambria Math"/>
                  <a:ea typeface="+mn-ea"/>
                  <a:cs typeface="+mn-cs"/>
                </a:rPr>
                <a:t>×</a:t>
              </a:r>
              <a:r>
                <a:rPr kumimoji="1" lang="ja-JP" altLang="en-US" sz="1100" b="0" i="0">
                  <a:solidFill>
                    <a:schemeClr val="tx1"/>
                  </a:solidFill>
                  <a:effectLst/>
                  <a:latin typeface="Cambria Math"/>
                  <a:ea typeface="+mn-ea"/>
                  <a:cs typeface="+mn-cs"/>
                </a:rPr>
                <a:t>𝐿</a:t>
              </a:r>
              <a:r>
                <a:rPr kumimoji="1" lang="ja-JP" altLang="en-US" sz="1100"/>
                <a:t>　</a:t>
              </a:r>
            </a:p>
          </xdr:txBody>
        </xdr:sp>
      </mc:Fallback>
    </mc:AlternateContent>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election activeCell="F17" sqref="F17"/>
    </sheetView>
  </sheetViews>
  <sheetFormatPr defaultRowHeight="13.5"/>
  <sheetData>
    <row r="1" spans="1:1">
      <c r="A1" t="s">
        <v>309</v>
      </c>
    </row>
    <row r="3" spans="1:1">
      <c r="A3" t="s">
        <v>274</v>
      </c>
    </row>
    <row r="4" spans="1:1">
      <c r="A4" t="s">
        <v>275</v>
      </c>
    </row>
    <row r="5" spans="1:1">
      <c r="A5" t="s">
        <v>276</v>
      </c>
    </row>
    <row r="6" spans="1:1">
      <c r="A6" t="s">
        <v>286</v>
      </c>
    </row>
    <row r="7" spans="1:1">
      <c r="A7" t="s">
        <v>277</v>
      </c>
    </row>
    <row r="10" spans="1:1">
      <c r="A10" t="s">
        <v>278</v>
      </c>
    </row>
    <row r="11" spans="1:1">
      <c r="A11" t="s">
        <v>287</v>
      </c>
    </row>
    <row r="14" spans="1:1">
      <c r="A14" t="s">
        <v>279</v>
      </c>
    </row>
    <row r="15" spans="1:1">
      <c r="A15" t="s">
        <v>280</v>
      </c>
    </row>
    <row r="16" spans="1:1">
      <c r="A16" t="s">
        <v>281</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18"/>
  <sheetViews>
    <sheetView topLeftCell="A16" workbookViewId="0">
      <selection activeCell="G46" sqref="G46"/>
    </sheetView>
  </sheetViews>
  <sheetFormatPr defaultRowHeight="13.5"/>
  <cols>
    <col min="2" max="2" width="9.5" bestFit="1" customWidth="1"/>
  </cols>
  <sheetData>
    <row r="3" spans="2:6">
      <c r="B3" t="s">
        <v>26</v>
      </c>
    </row>
    <row r="4" spans="2:6">
      <c r="B4" s="2">
        <v>1</v>
      </c>
      <c r="C4" s="2">
        <v>1</v>
      </c>
      <c r="E4" t="s">
        <v>151</v>
      </c>
    </row>
    <row r="5" spans="2:6">
      <c r="B5" s="2">
        <v>2</v>
      </c>
      <c r="C5" s="2">
        <v>2</v>
      </c>
      <c r="E5" s="2">
        <v>13</v>
      </c>
      <c r="F5" s="2">
        <v>13</v>
      </c>
    </row>
    <row r="6" spans="2:6">
      <c r="B6" s="2">
        <v>3</v>
      </c>
      <c r="C6" s="2">
        <v>2</v>
      </c>
      <c r="E6" s="2">
        <v>16</v>
      </c>
      <c r="F6" s="2">
        <v>20</v>
      </c>
    </row>
    <row r="7" spans="2:6">
      <c r="B7" s="2">
        <v>4</v>
      </c>
      <c r="C7" s="2">
        <v>2</v>
      </c>
      <c r="E7" s="2">
        <v>20</v>
      </c>
      <c r="F7" s="2">
        <v>25</v>
      </c>
    </row>
    <row r="8" spans="2:6">
      <c r="B8" s="2">
        <v>5</v>
      </c>
      <c r="C8" s="2">
        <v>3</v>
      </c>
      <c r="E8" s="2">
        <v>25</v>
      </c>
      <c r="F8" s="2">
        <v>30</v>
      </c>
    </row>
    <row r="9" spans="2:6">
      <c r="B9" s="2">
        <v>6</v>
      </c>
      <c r="C9" s="2">
        <v>3</v>
      </c>
      <c r="E9" s="2">
        <v>30</v>
      </c>
      <c r="F9" s="2">
        <v>40</v>
      </c>
    </row>
    <row r="10" spans="2:6">
      <c r="B10" s="2">
        <v>7</v>
      </c>
      <c r="C10" s="2">
        <v>3</v>
      </c>
      <c r="E10" s="2">
        <v>40</v>
      </c>
      <c r="F10" s="2">
        <v>50</v>
      </c>
    </row>
    <row r="11" spans="2:6">
      <c r="B11" s="2">
        <v>8</v>
      </c>
      <c r="C11" s="2">
        <v>3</v>
      </c>
      <c r="E11" s="2">
        <v>50</v>
      </c>
      <c r="F11" s="2">
        <v>75</v>
      </c>
    </row>
    <row r="12" spans="2:6">
      <c r="B12" s="2">
        <v>9</v>
      </c>
      <c r="C12" s="2">
        <v>3</v>
      </c>
      <c r="E12" s="2">
        <v>75</v>
      </c>
    </row>
    <row r="13" spans="2:6">
      <c r="B13" s="2">
        <v>10</v>
      </c>
      <c r="C13" s="2">
        <v>3</v>
      </c>
    </row>
    <row r="14" spans="2:6">
      <c r="B14" s="2">
        <v>11</v>
      </c>
      <c r="C14" s="2">
        <v>4</v>
      </c>
    </row>
    <row r="15" spans="2:6">
      <c r="B15" s="2">
        <v>12</v>
      </c>
      <c r="C15" s="2">
        <v>4</v>
      </c>
    </row>
    <row r="16" spans="2:6">
      <c r="B16" s="2">
        <v>13</v>
      </c>
      <c r="C16" s="2">
        <v>4</v>
      </c>
    </row>
    <row r="17" spans="2:3">
      <c r="B17" s="2">
        <v>14</v>
      </c>
      <c r="C17" s="2">
        <v>4</v>
      </c>
    </row>
    <row r="18" spans="2:3">
      <c r="B18" s="2">
        <v>15</v>
      </c>
      <c r="C18" s="2">
        <v>4</v>
      </c>
    </row>
    <row r="19" spans="2:3">
      <c r="B19" s="2">
        <v>16</v>
      </c>
      <c r="C19" s="2">
        <v>5</v>
      </c>
    </row>
    <row r="20" spans="2:3">
      <c r="B20" s="2">
        <v>17</v>
      </c>
      <c r="C20" s="2">
        <v>5</v>
      </c>
    </row>
    <row r="21" spans="2:3">
      <c r="B21" s="2">
        <v>18</v>
      </c>
      <c r="C21" s="2">
        <v>5</v>
      </c>
    </row>
    <row r="22" spans="2:3">
      <c r="B22" s="2">
        <v>19</v>
      </c>
      <c r="C22" s="2">
        <v>5</v>
      </c>
    </row>
    <row r="23" spans="2:3">
      <c r="B23" s="2">
        <v>20</v>
      </c>
      <c r="C23" s="2">
        <v>5</v>
      </c>
    </row>
    <row r="24" spans="2:3">
      <c r="B24" s="2">
        <v>21</v>
      </c>
      <c r="C24" s="2">
        <v>6</v>
      </c>
    </row>
    <row r="25" spans="2:3">
      <c r="B25" s="2">
        <v>22</v>
      </c>
      <c r="C25" s="2">
        <v>6</v>
      </c>
    </row>
    <row r="26" spans="2:3">
      <c r="B26" s="2">
        <v>23</v>
      </c>
      <c r="C26" s="2">
        <v>6</v>
      </c>
    </row>
    <row r="27" spans="2:3">
      <c r="B27" s="2">
        <v>24</v>
      </c>
      <c r="C27" s="2">
        <v>6</v>
      </c>
    </row>
    <row r="28" spans="2:3">
      <c r="B28" s="2">
        <v>25</v>
      </c>
      <c r="C28" s="2">
        <v>6</v>
      </c>
    </row>
    <row r="29" spans="2:3">
      <c r="B29" s="2">
        <v>26</v>
      </c>
      <c r="C29" s="2">
        <v>6</v>
      </c>
    </row>
    <row r="30" spans="2:3">
      <c r="B30" s="2">
        <v>27</v>
      </c>
      <c r="C30" s="2">
        <v>6</v>
      </c>
    </row>
    <row r="31" spans="2:3">
      <c r="B31" s="2">
        <v>28</v>
      </c>
      <c r="C31" s="2">
        <v>6</v>
      </c>
    </row>
    <row r="32" spans="2:3">
      <c r="B32" s="2">
        <v>29</v>
      </c>
      <c r="C32" s="2">
        <v>6</v>
      </c>
    </row>
    <row r="33" spans="2:3">
      <c r="B33" s="2">
        <v>30</v>
      </c>
      <c r="C33" s="2">
        <v>6</v>
      </c>
    </row>
    <row r="36" spans="2:3">
      <c r="B36" t="s">
        <v>32</v>
      </c>
    </row>
    <row r="37" spans="2:3">
      <c r="B37" s="2">
        <v>5</v>
      </c>
      <c r="C37" s="2">
        <v>13</v>
      </c>
    </row>
    <row r="38" spans="2:3">
      <c r="B38" s="2">
        <v>6</v>
      </c>
      <c r="C38" s="2">
        <v>13</v>
      </c>
    </row>
    <row r="39" spans="2:3">
      <c r="B39" s="2">
        <v>7</v>
      </c>
      <c r="C39" s="2">
        <v>13</v>
      </c>
    </row>
    <row r="40" spans="2:3">
      <c r="B40" s="2">
        <v>8</v>
      </c>
      <c r="C40" s="2">
        <v>13</v>
      </c>
    </row>
    <row r="41" spans="2:3">
      <c r="B41" s="2">
        <v>9</v>
      </c>
      <c r="C41" s="2">
        <v>13</v>
      </c>
    </row>
    <row r="42" spans="2:3">
      <c r="B42" s="2">
        <v>10</v>
      </c>
      <c r="C42" s="2">
        <v>13</v>
      </c>
    </row>
    <row r="43" spans="2:3">
      <c r="B43" s="2">
        <v>11</v>
      </c>
      <c r="C43" s="2">
        <v>13</v>
      </c>
    </row>
    <row r="44" spans="2:3">
      <c r="B44" s="2">
        <v>12</v>
      </c>
      <c r="C44" s="2">
        <v>13</v>
      </c>
    </row>
    <row r="45" spans="2:3">
      <c r="B45" s="2">
        <v>13</v>
      </c>
      <c r="C45" s="2">
        <v>13</v>
      </c>
    </row>
    <row r="46" spans="2:3">
      <c r="B46" s="2">
        <v>14</v>
      </c>
      <c r="C46" s="2">
        <v>20</v>
      </c>
    </row>
    <row r="47" spans="2:3">
      <c r="B47" s="2">
        <v>15</v>
      </c>
      <c r="C47" s="2">
        <v>20</v>
      </c>
    </row>
    <row r="48" spans="2:3">
      <c r="B48" s="2">
        <v>16</v>
      </c>
      <c r="C48" s="2">
        <v>20</v>
      </c>
    </row>
    <row r="49" spans="2:3">
      <c r="B49" s="2">
        <v>17</v>
      </c>
      <c r="C49" s="2">
        <v>20</v>
      </c>
    </row>
    <row r="50" spans="2:3">
      <c r="B50" s="2">
        <v>18</v>
      </c>
      <c r="C50" s="2">
        <v>20</v>
      </c>
    </row>
    <row r="51" spans="2:3">
      <c r="B51" s="2">
        <v>19</v>
      </c>
      <c r="C51" s="2">
        <v>20</v>
      </c>
    </row>
    <row r="52" spans="2:3">
      <c r="B52" s="2">
        <v>20</v>
      </c>
      <c r="C52" s="2">
        <v>20</v>
      </c>
    </row>
    <row r="53" spans="2:3">
      <c r="B53" s="2">
        <v>21</v>
      </c>
      <c r="C53" s="2">
        <v>25</v>
      </c>
    </row>
    <row r="54" spans="2:3">
      <c r="B54" s="2">
        <v>22</v>
      </c>
      <c r="C54" s="2">
        <v>25</v>
      </c>
    </row>
    <row r="55" spans="2:3">
      <c r="B55" s="2">
        <v>23</v>
      </c>
      <c r="C55" s="2">
        <v>25</v>
      </c>
    </row>
    <row r="56" spans="2:3">
      <c r="B56" s="2">
        <v>24</v>
      </c>
      <c r="C56" s="2">
        <v>25</v>
      </c>
    </row>
    <row r="57" spans="2:3">
      <c r="B57" s="2">
        <v>25</v>
      </c>
      <c r="C57" s="2">
        <v>25</v>
      </c>
    </row>
    <row r="58" spans="2:3">
      <c r="B58" s="2">
        <v>26</v>
      </c>
      <c r="C58" s="2">
        <v>30</v>
      </c>
    </row>
    <row r="59" spans="2:3">
      <c r="B59" s="2">
        <v>27</v>
      </c>
      <c r="C59" s="2">
        <v>30</v>
      </c>
    </row>
    <row r="60" spans="2:3">
      <c r="B60" s="2">
        <v>28</v>
      </c>
      <c r="C60" s="2">
        <v>30</v>
      </c>
    </row>
    <row r="61" spans="2:3">
      <c r="B61" s="2">
        <v>29</v>
      </c>
      <c r="C61" s="2">
        <v>30</v>
      </c>
    </row>
    <row r="62" spans="2:3">
      <c r="B62" s="2">
        <v>30</v>
      </c>
      <c r="C62" s="2">
        <v>30</v>
      </c>
    </row>
    <row r="63" spans="2:3">
      <c r="B63" s="2">
        <v>31</v>
      </c>
      <c r="C63" s="2">
        <v>40</v>
      </c>
    </row>
    <row r="64" spans="2:3">
      <c r="B64" s="2">
        <v>32</v>
      </c>
      <c r="C64" s="2">
        <v>40</v>
      </c>
    </row>
    <row r="65" spans="2:3">
      <c r="B65" s="2">
        <v>33</v>
      </c>
      <c r="C65" s="2">
        <v>40</v>
      </c>
    </row>
    <row r="66" spans="2:3">
      <c r="B66" s="2">
        <v>34</v>
      </c>
      <c r="C66" s="2">
        <v>40</v>
      </c>
    </row>
    <row r="67" spans="2:3">
      <c r="B67" s="2">
        <v>35</v>
      </c>
      <c r="C67" s="2">
        <v>40</v>
      </c>
    </row>
    <row r="68" spans="2:3">
      <c r="B68" s="2">
        <v>36</v>
      </c>
      <c r="C68" s="2">
        <v>40</v>
      </c>
    </row>
    <row r="69" spans="2:3">
      <c r="B69" s="3">
        <v>37</v>
      </c>
      <c r="C69" s="3">
        <v>40</v>
      </c>
    </row>
    <row r="70" spans="2:3">
      <c r="B70" s="3">
        <v>38</v>
      </c>
      <c r="C70" s="3">
        <v>40</v>
      </c>
    </row>
    <row r="71" spans="2:3">
      <c r="B71" s="3">
        <v>39</v>
      </c>
      <c r="C71" s="3">
        <v>40</v>
      </c>
    </row>
    <row r="72" spans="2:3">
      <c r="B72" s="3">
        <v>40</v>
      </c>
      <c r="C72" s="3">
        <v>40</v>
      </c>
    </row>
    <row r="73" spans="2:3">
      <c r="B73" s="3">
        <v>41</v>
      </c>
      <c r="C73" s="3">
        <v>50</v>
      </c>
    </row>
    <row r="74" spans="2:3">
      <c r="B74" s="3">
        <v>42</v>
      </c>
      <c r="C74" s="2">
        <v>50</v>
      </c>
    </row>
    <row r="75" spans="2:3">
      <c r="B75" s="3">
        <v>43</v>
      </c>
      <c r="C75" s="2">
        <v>50</v>
      </c>
    </row>
    <row r="76" spans="2:3">
      <c r="B76" s="3">
        <v>44</v>
      </c>
      <c r="C76" s="2">
        <v>50</v>
      </c>
    </row>
    <row r="77" spans="2:3">
      <c r="B77" s="3">
        <v>45</v>
      </c>
      <c r="C77" s="2">
        <v>50</v>
      </c>
    </row>
    <row r="78" spans="2:3">
      <c r="B78" s="3">
        <v>46</v>
      </c>
      <c r="C78" s="2">
        <v>50</v>
      </c>
    </row>
    <row r="79" spans="2:3">
      <c r="B79" s="3">
        <v>47</v>
      </c>
      <c r="C79" s="2">
        <v>50</v>
      </c>
    </row>
    <row r="80" spans="2:3">
      <c r="B80" s="3">
        <v>48</v>
      </c>
      <c r="C80" s="2">
        <v>50</v>
      </c>
    </row>
    <row r="81" spans="2:3">
      <c r="B81" s="3">
        <v>49</v>
      </c>
      <c r="C81" s="2">
        <v>50</v>
      </c>
    </row>
    <row r="82" spans="2:3">
      <c r="B82" s="3">
        <v>50</v>
      </c>
      <c r="C82" s="2">
        <v>50</v>
      </c>
    </row>
    <row r="83" spans="2:3">
      <c r="B83" s="3">
        <v>51</v>
      </c>
      <c r="C83" s="3">
        <v>75</v>
      </c>
    </row>
    <row r="84" spans="2:3">
      <c r="B84" s="3">
        <v>52</v>
      </c>
      <c r="C84" s="3">
        <v>75</v>
      </c>
    </row>
    <row r="85" spans="2:3">
      <c r="B85" s="3">
        <v>53</v>
      </c>
      <c r="C85" s="3">
        <v>75</v>
      </c>
    </row>
    <row r="86" spans="2:3">
      <c r="B86" s="3">
        <v>54</v>
      </c>
      <c r="C86" s="3">
        <v>75</v>
      </c>
    </row>
    <row r="87" spans="2:3">
      <c r="B87" s="3">
        <v>55</v>
      </c>
      <c r="C87" s="3">
        <v>75</v>
      </c>
    </row>
    <row r="88" spans="2:3">
      <c r="B88" s="3">
        <v>56</v>
      </c>
      <c r="C88" s="3">
        <v>75</v>
      </c>
    </row>
    <row r="89" spans="2:3">
      <c r="B89" s="3">
        <v>57</v>
      </c>
      <c r="C89" s="3">
        <v>75</v>
      </c>
    </row>
    <row r="90" spans="2:3">
      <c r="B90" s="3">
        <v>58</v>
      </c>
      <c r="C90" s="3">
        <v>75</v>
      </c>
    </row>
    <row r="91" spans="2:3">
      <c r="B91" s="3">
        <v>59</v>
      </c>
      <c r="C91" s="3">
        <v>75</v>
      </c>
    </row>
    <row r="92" spans="2:3">
      <c r="B92" s="3">
        <v>60</v>
      </c>
      <c r="C92" s="3">
        <v>75</v>
      </c>
    </row>
    <row r="93" spans="2:3">
      <c r="B93" s="3">
        <v>61</v>
      </c>
      <c r="C93" s="3">
        <v>75</v>
      </c>
    </row>
    <row r="94" spans="2:3">
      <c r="B94" s="3">
        <v>62</v>
      </c>
      <c r="C94" s="3">
        <v>75</v>
      </c>
    </row>
    <row r="95" spans="2:3">
      <c r="B95" s="3">
        <v>63</v>
      </c>
      <c r="C95" s="3">
        <v>75</v>
      </c>
    </row>
    <row r="96" spans="2:3">
      <c r="B96" s="3">
        <v>64</v>
      </c>
      <c r="C96" s="3">
        <v>75</v>
      </c>
    </row>
    <row r="97" spans="2:3">
      <c r="B97" s="3">
        <v>65</v>
      </c>
      <c r="C97" s="3">
        <v>75</v>
      </c>
    </row>
    <row r="98" spans="2:3">
      <c r="B98" s="3">
        <v>66</v>
      </c>
      <c r="C98" s="3">
        <v>75</v>
      </c>
    </row>
    <row r="99" spans="2:3">
      <c r="B99" s="3">
        <v>67</v>
      </c>
      <c r="C99" s="3">
        <v>75</v>
      </c>
    </row>
    <row r="100" spans="2:3">
      <c r="B100" s="3">
        <v>68</v>
      </c>
      <c r="C100" s="3">
        <v>75</v>
      </c>
    </row>
    <row r="101" spans="2:3">
      <c r="B101" s="3">
        <v>69</v>
      </c>
      <c r="C101" s="3">
        <v>75</v>
      </c>
    </row>
    <row r="102" spans="2:3">
      <c r="B102" s="3">
        <v>70</v>
      </c>
      <c r="C102" s="3">
        <v>75</v>
      </c>
    </row>
    <row r="103" spans="2:3">
      <c r="B103" s="3">
        <v>71</v>
      </c>
      <c r="C103" s="3">
        <v>75</v>
      </c>
    </row>
    <row r="104" spans="2:3">
      <c r="B104" s="3">
        <v>72</v>
      </c>
      <c r="C104" s="3">
        <v>75</v>
      </c>
    </row>
    <row r="105" spans="2:3">
      <c r="B105" s="3">
        <v>73</v>
      </c>
      <c r="C105" s="3">
        <v>75</v>
      </c>
    </row>
    <row r="106" spans="2:3">
      <c r="B106" s="3">
        <v>74</v>
      </c>
      <c r="C106" s="3">
        <v>75</v>
      </c>
    </row>
    <row r="107" spans="2:3">
      <c r="B107" s="3">
        <v>75</v>
      </c>
      <c r="C107" s="3">
        <v>75</v>
      </c>
    </row>
    <row r="108" spans="2:3">
      <c r="B108" s="10"/>
      <c r="C108" s="8"/>
    </row>
    <row r="109" spans="2:3">
      <c r="B109" s="10"/>
      <c r="C109" s="8"/>
    </row>
    <row r="110" spans="2:3">
      <c r="B110" s="10"/>
      <c r="C110" s="8"/>
    </row>
    <row r="111" spans="2:3">
      <c r="B111" s="10"/>
      <c r="C111" s="8"/>
    </row>
    <row r="112" spans="2:3">
      <c r="B112" s="10"/>
      <c r="C112" s="8"/>
    </row>
    <row r="113" spans="2:3">
      <c r="B113" s="10"/>
      <c r="C113" s="8"/>
    </row>
    <row r="114" spans="2:3">
      <c r="B114" s="10"/>
      <c r="C114" s="8"/>
    </row>
    <row r="115" spans="2:3">
      <c r="B115" s="10"/>
      <c r="C115" s="8"/>
    </row>
    <row r="116" spans="2:3">
      <c r="B116" s="10"/>
      <c r="C116" s="8"/>
    </row>
    <row r="117" spans="2:3">
      <c r="B117" s="10"/>
      <c r="C117" s="8"/>
    </row>
    <row r="118" spans="2:3">
      <c r="B118" s="10"/>
      <c r="C118" s="8"/>
    </row>
    <row r="119" spans="2:3">
      <c r="B119" s="10"/>
      <c r="C119" s="8"/>
    </row>
    <row r="120" spans="2:3">
      <c r="B120" s="10"/>
      <c r="C120" s="8"/>
    </row>
    <row r="121" spans="2:3">
      <c r="B121" s="10"/>
      <c r="C121" s="8"/>
    </row>
    <row r="122" spans="2:3">
      <c r="B122" s="10"/>
      <c r="C122" s="8"/>
    </row>
    <row r="123" spans="2:3">
      <c r="B123" s="10"/>
      <c r="C123" s="8"/>
    </row>
    <row r="124" spans="2:3">
      <c r="B124" s="10"/>
      <c r="C124" s="8"/>
    </row>
    <row r="125" spans="2:3">
      <c r="B125" s="10"/>
      <c r="C125" s="8"/>
    </row>
    <row r="126" spans="2:3">
      <c r="B126" s="10"/>
      <c r="C126" s="8"/>
    </row>
    <row r="127" spans="2:3">
      <c r="B127" s="10"/>
      <c r="C127" s="8"/>
    </row>
    <row r="128" spans="2:3">
      <c r="B128" s="10"/>
      <c r="C128" s="8"/>
    </row>
    <row r="129" spans="2:3">
      <c r="B129" s="10"/>
      <c r="C129" s="8"/>
    </row>
    <row r="130" spans="2:3">
      <c r="B130" s="10"/>
      <c r="C130" s="8"/>
    </row>
    <row r="131" spans="2:3">
      <c r="B131" s="10"/>
      <c r="C131" s="8"/>
    </row>
    <row r="132" spans="2:3">
      <c r="B132" s="10"/>
      <c r="C132" s="8"/>
    </row>
    <row r="133" spans="2:3">
      <c r="B133" s="10"/>
      <c r="C133" s="8"/>
    </row>
    <row r="134" spans="2:3">
      <c r="B134" s="10"/>
      <c r="C134" s="8"/>
    </row>
    <row r="135" spans="2:3">
      <c r="B135" s="10"/>
      <c r="C135" s="8"/>
    </row>
    <row r="136" spans="2:3">
      <c r="B136" s="10"/>
      <c r="C136" s="8"/>
    </row>
    <row r="137" spans="2:3">
      <c r="B137" s="10"/>
      <c r="C137" s="8"/>
    </row>
    <row r="138" spans="2:3">
      <c r="B138" s="10"/>
      <c r="C138" s="8"/>
    </row>
    <row r="139" spans="2:3">
      <c r="B139" s="10"/>
      <c r="C139" s="8"/>
    </row>
    <row r="140" spans="2:3">
      <c r="B140" s="10"/>
      <c r="C140" s="8"/>
    </row>
    <row r="141" spans="2:3">
      <c r="B141" s="10"/>
      <c r="C141" s="8"/>
    </row>
    <row r="142" spans="2:3">
      <c r="B142" s="10"/>
      <c r="C142" s="8"/>
    </row>
    <row r="143" spans="2:3">
      <c r="B143" s="10"/>
      <c r="C143" s="8"/>
    </row>
    <row r="144" spans="2:3">
      <c r="B144" s="10"/>
      <c r="C144" s="8"/>
    </row>
    <row r="145" spans="2:3">
      <c r="B145" s="10"/>
      <c r="C145" s="8"/>
    </row>
    <row r="146" spans="2:3">
      <c r="B146" s="10"/>
      <c r="C146" s="8"/>
    </row>
    <row r="147" spans="2:3">
      <c r="B147" s="10"/>
      <c r="C147" s="8"/>
    </row>
    <row r="148" spans="2:3">
      <c r="B148" s="10"/>
      <c r="C148" s="8"/>
    </row>
    <row r="149" spans="2:3">
      <c r="B149" s="10"/>
      <c r="C149" s="8"/>
    </row>
    <row r="150" spans="2:3">
      <c r="B150" s="10"/>
      <c r="C150" s="8"/>
    </row>
    <row r="151" spans="2:3">
      <c r="B151" s="10"/>
      <c r="C151" s="8"/>
    </row>
    <row r="152" spans="2:3">
      <c r="B152" s="10"/>
      <c r="C152" s="8"/>
    </row>
    <row r="153" spans="2:3">
      <c r="B153" s="10"/>
      <c r="C153" s="8"/>
    </row>
    <row r="154" spans="2:3">
      <c r="B154" s="10"/>
      <c r="C154" s="8"/>
    </row>
    <row r="158" spans="2:3">
      <c r="B158" t="s">
        <v>136</v>
      </c>
    </row>
    <row r="159" spans="2:3">
      <c r="B159" s="2">
        <v>1</v>
      </c>
      <c r="C159" s="2">
        <v>100</v>
      </c>
    </row>
    <row r="160" spans="2:3">
      <c r="B160" s="2">
        <v>2</v>
      </c>
      <c r="C160" s="2">
        <v>100</v>
      </c>
    </row>
    <row r="161" spans="2:3">
      <c r="B161" s="2">
        <v>3</v>
      </c>
      <c r="C161" s="2">
        <v>100</v>
      </c>
    </row>
    <row r="162" spans="2:3">
      <c r="B162" s="2">
        <v>4</v>
      </c>
      <c r="C162" s="2">
        <v>90</v>
      </c>
    </row>
    <row r="163" spans="2:3">
      <c r="B163" s="2">
        <v>5</v>
      </c>
      <c r="C163" s="2">
        <v>90</v>
      </c>
    </row>
    <row r="164" spans="2:3">
      <c r="B164" s="2">
        <v>6</v>
      </c>
      <c r="C164" s="2">
        <v>90</v>
      </c>
    </row>
    <row r="165" spans="2:3">
      <c r="B165" s="2">
        <v>7</v>
      </c>
      <c r="C165" s="2">
        <v>90</v>
      </c>
    </row>
    <row r="166" spans="2:3">
      <c r="B166" s="2">
        <v>8</v>
      </c>
      <c r="C166" s="2">
        <v>90</v>
      </c>
    </row>
    <row r="167" spans="2:3">
      <c r="B167" s="2">
        <v>9</v>
      </c>
      <c r="C167" s="2">
        <v>90</v>
      </c>
    </row>
    <row r="168" spans="2:3">
      <c r="B168" s="2">
        <v>10</v>
      </c>
      <c r="C168" s="2">
        <v>90</v>
      </c>
    </row>
    <row r="169" spans="2:3">
      <c r="B169" s="2">
        <v>11</v>
      </c>
      <c r="C169" s="2">
        <v>80</v>
      </c>
    </row>
    <row r="170" spans="2:3">
      <c r="B170" s="2">
        <v>12</v>
      </c>
      <c r="C170" s="2">
        <v>80</v>
      </c>
    </row>
    <row r="171" spans="2:3">
      <c r="B171" s="2">
        <v>13</v>
      </c>
      <c r="C171" s="2">
        <v>80</v>
      </c>
    </row>
    <row r="172" spans="2:3">
      <c r="B172" s="2">
        <v>14</v>
      </c>
      <c r="C172" s="2">
        <v>80</v>
      </c>
    </row>
    <row r="173" spans="2:3">
      <c r="B173" s="2">
        <v>15</v>
      </c>
      <c r="C173" s="2">
        <v>80</v>
      </c>
    </row>
    <row r="174" spans="2:3">
      <c r="B174" s="2">
        <v>16</v>
      </c>
      <c r="C174" s="2">
        <v>80</v>
      </c>
    </row>
    <row r="175" spans="2:3">
      <c r="B175" s="2">
        <v>17</v>
      </c>
      <c r="C175" s="2">
        <v>80</v>
      </c>
    </row>
    <row r="176" spans="2:3">
      <c r="B176" s="3">
        <v>18</v>
      </c>
      <c r="C176" s="2">
        <v>80</v>
      </c>
    </row>
    <row r="177" spans="2:3">
      <c r="B177" s="3">
        <v>19</v>
      </c>
      <c r="C177" s="2">
        <v>80</v>
      </c>
    </row>
    <row r="178" spans="2:3">
      <c r="B178" s="3">
        <v>20</v>
      </c>
      <c r="C178" s="2">
        <v>80</v>
      </c>
    </row>
    <row r="179" spans="2:3">
      <c r="B179" s="3">
        <v>21</v>
      </c>
      <c r="C179" s="3">
        <v>70</v>
      </c>
    </row>
    <row r="180" spans="2:3">
      <c r="B180" s="3">
        <v>22</v>
      </c>
      <c r="C180" s="3">
        <v>70</v>
      </c>
    </row>
    <row r="181" spans="2:3">
      <c r="B181" s="3">
        <v>23</v>
      </c>
      <c r="C181" s="3">
        <v>70</v>
      </c>
    </row>
    <row r="182" spans="2:3">
      <c r="B182" s="3">
        <v>24</v>
      </c>
      <c r="C182" s="3">
        <v>70</v>
      </c>
    </row>
    <row r="183" spans="2:3">
      <c r="B183" s="3">
        <v>25</v>
      </c>
      <c r="C183" s="3">
        <v>70</v>
      </c>
    </row>
    <row r="184" spans="2:3">
      <c r="B184" s="3">
        <v>26</v>
      </c>
      <c r="C184" s="3">
        <v>70</v>
      </c>
    </row>
    <row r="185" spans="2:3">
      <c r="B185" s="3">
        <v>27</v>
      </c>
      <c r="C185" s="3">
        <v>70</v>
      </c>
    </row>
    <row r="186" spans="2:3">
      <c r="B186" s="3">
        <v>28</v>
      </c>
      <c r="C186" s="3">
        <v>70</v>
      </c>
    </row>
    <row r="187" spans="2:3">
      <c r="B187" s="3">
        <v>29</v>
      </c>
      <c r="C187" s="3">
        <v>70</v>
      </c>
    </row>
    <row r="188" spans="2:3">
      <c r="B188" s="3">
        <v>30</v>
      </c>
      <c r="C188" s="3">
        <v>70</v>
      </c>
    </row>
    <row r="189" spans="2:3">
      <c r="B189" s="3">
        <v>31</v>
      </c>
      <c r="C189" s="3">
        <v>65</v>
      </c>
    </row>
    <row r="190" spans="2:3">
      <c r="B190" s="3">
        <v>32</v>
      </c>
      <c r="C190" s="3">
        <v>65</v>
      </c>
    </row>
    <row r="191" spans="2:3">
      <c r="B191" s="3">
        <v>33</v>
      </c>
      <c r="C191" s="3">
        <v>65</v>
      </c>
    </row>
    <row r="192" spans="2:3">
      <c r="B192" s="3">
        <v>34</v>
      </c>
      <c r="C192" s="3">
        <v>65</v>
      </c>
    </row>
    <row r="193" spans="2:3">
      <c r="B193" s="3">
        <v>35</v>
      </c>
      <c r="C193" s="3">
        <v>65</v>
      </c>
    </row>
    <row r="194" spans="2:3">
      <c r="B194" s="3">
        <v>36</v>
      </c>
      <c r="C194" s="3">
        <v>65</v>
      </c>
    </row>
    <row r="195" spans="2:3">
      <c r="B195" s="3">
        <v>37</v>
      </c>
      <c r="C195" s="3">
        <v>65</v>
      </c>
    </row>
    <row r="196" spans="2:3">
      <c r="B196" s="3">
        <v>38</v>
      </c>
      <c r="C196" s="3">
        <v>65</v>
      </c>
    </row>
    <row r="197" spans="2:3">
      <c r="B197" s="3">
        <v>39</v>
      </c>
      <c r="C197" s="3">
        <v>65</v>
      </c>
    </row>
    <row r="198" spans="2:3">
      <c r="B198" s="3">
        <v>40</v>
      </c>
      <c r="C198" s="3">
        <v>65</v>
      </c>
    </row>
    <row r="199" spans="2:3">
      <c r="B199" s="3">
        <v>41</v>
      </c>
      <c r="C199" s="3">
        <v>60</v>
      </c>
    </row>
    <row r="200" spans="2:3">
      <c r="B200" s="3">
        <v>42</v>
      </c>
      <c r="C200" s="3">
        <v>60</v>
      </c>
    </row>
    <row r="201" spans="2:3">
      <c r="B201" s="3">
        <v>43</v>
      </c>
      <c r="C201" s="3">
        <v>60</v>
      </c>
    </row>
    <row r="202" spans="2:3">
      <c r="B202" s="3">
        <v>44</v>
      </c>
      <c r="C202" s="3">
        <v>60</v>
      </c>
    </row>
    <row r="203" spans="2:3">
      <c r="B203" s="3">
        <v>45</v>
      </c>
      <c r="C203" s="3">
        <v>60</v>
      </c>
    </row>
    <row r="204" spans="2:3">
      <c r="B204" s="3">
        <v>46</v>
      </c>
      <c r="C204" s="3">
        <v>60</v>
      </c>
    </row>
    <row r="205" spans="2:3">
      <c r="B205" s="3">
        <v>47</v>
      </c>
      <c r="C205" s="3">
        <v>60</v>
      </c>
    </row>
    <row r="206" spans="2:3">
      <c r="B206" s="3">
        <v>48</v>
      </c>
      <c r="C206" s="3">
        <v>60</v>
      </c>
    </row>
    <row r="207" spans="2:3">
      <c r="B207" s="3">
        <v>49</v>
      </c>
      <c r="C207" s="3">
        <v>60</v>
      </c>
    </row>
    <row r="208" spans="2:3">
      <c r="B208" s="3">
        <v>50</v>
      </c>
      <c r="C208" s="3">
        <v>60</v>
      </c>
    </row>
    <row r="209" spans="2:3">
      <c r="B209" s="3">
        <v>51</v>
      </c>
      <c r="C209" s="3">
        <v>60</v>
      </c>
    </row>
    <row r="210" spans="2:3">
      <c r="B210" s="3">
        <v>52</v>
      </c>
      <c r="C210" s="3">
        <v>60</v>
      </c>
    </row>
    <row r="211" spans="2:3">
      <c r="B211" s="3">
        <v>53</v>
      </c>
      <c r="C211" s="3">
        <v>60</v>
      </c>
    </row>
    <row r="212" spans="2:3">
      <c r="B212" s="3">
        <v>54</v>
      </c>
      <c r="C212" s="3">
        <v>60</v>
      </c>
    </row>
    <row r="213" spans="2:3">
      <c r="B213" s="3">
        <v>55</v>
      </c>
      <c r="C213" s="3">
        <v>60</v>
      </c>
    </row>
    <row r="214" spans="2:3">
      <c r="B214" s="3">
        <v>56</v>
      </c>
      <c r="C214" s="3">
        <v>60</v>
      </c>
    </row>
    <row r="215" spans="2:3">
      <c r="B215" s="3">
        <v>57</v>
      </c>
      <c r="C215" s="3">
        <v>60</v>
      </c>
    </row>
    <row r="216" spans="2:3">
      <c r="B216" s="3">
        <v>58</v>
      </c>
      <c r="C216" s="3">
        <v>60</v>
      </c>
    </row>
    <row r="217" spans="2:3">
      <c r="B217" s="3">
        <v>59</v>
      </c>
      <c r="C217" s="3">
        <v>60</v>
      </c>
    </row>
    <row r="218" spans="2:3">
      <c r="B218" s="3">
        <v>60</v>
      </c>
      <c r="C218" s="3">
        <v>60</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6" sqref="C6"/>
    </sheetView>
  </sheetViews>
  <sheetFormatPr defaultRowHeight="13.5"/>
  <cols>
    <col min="1" max="2" width="9" style="231"/>
    <col min="3" max="3" width="30.625" style="231" customWidth="1"/>
    <col min="4" max="16384" width="9" style="231"/>
  </cols>
  <sheetData>
    <row r="1" spans="1:3">
      <c r="A1" s="232" t="s">
        <v>283</v>
      </c>
      <c r="B1" s="232" t="s">
        <v>284</v>
      </c>
      <c r="C1" s="232" t="s">
        <v>285</v>
      </c>
    </row>
    <row r="2" spans="1:3">
      <c r="A2" s="232">
        <v>1</v>
      </c>
      <c r="B2" s="239">
        <v>43538</v>
      </c>
      <c r="C2" s="232" t="s">
        <v>282</v>
      </c>
    </row>
    <row r="3" spans="1:3">
      <c r="A3" s="240">
        <v>2</v>
      </c>
      <c r="B3" s="239">
        <v>43542</v>
      </c>
      <c r="C3" s="240" t="s">
        <v>288</v>
      </c>
    </row>
    <row r="4" spans="1:3">
      <c r="A4" s="240">
        <v>3</v>
      </c>
      <c r="B4" s="239">
        <v>43739</v>
      </c>
      <c r="C4" s="240" t="s">
        <v>301</v>
      </c>
    </row>
    <row r="5" spans="1:3">
      <c r="A5" s="244">
        <v>4</v>
      </c>
      <c r="B5" s="239">
        <v>46113</v>
      </c>
      <c r="C5" s="244" t="s">
        <v>308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K104"/>
  <sheetViews>
    <sheetView showZeros="0" view="pageBreakPreview" zoomScaleNormal="100" zoomScaleSheetLayoutView="100" workbookViewId="0">
      <selection activeCell="B37" sqref="B37"/>
    </sheetView>
  </sheetViews>
  <sheetFormatPr defaultRowHeight="13.5"/>
  <cols>
    <col min="1" max="1" width="15.875" customWidth="1"/>
    <col min="2" max="5" width="8.625" customWidth="1"/>
    <col min="6" max="6" width="15.875" customWidth="1"/>
    <col min="7" max="9" width="8.625" customWidth="1"/>
    <col min="10" max="11" width="9" hidden="1" customWidth="1"/>
  </cols>
  <sheetData>
    <row r="1" spans="1:10" ht="20.25" customHeight="1">
      <c r="A1" t="s">
        <v>129</v>
      </c>
    </row>
    <row r="2" spans="1:10" ht="18" customHeight="1" thickBot="1">
      <c r="A2" s="1" t="s">
        <v>131</v>
      </c>
      <c r="E2" s="277" t="s">
        <v>127</v>
      </c>
      <c r="F2" s="277"/>
      <c r="G2" s="278"/>
      <c r="H2" s="278"/>
      <c r="I2" s="278"/>
      <c r="J2" s="5"/>
    </row>
    <row r="3" spans="1:10" ht="18.75" customHeight="1" thickBot="1">
      <c r="A3" s="1" t="s">
        <v>130</v>
      </c>
      <c r="E3" s="279" t="s">
        <v>128</v>
      </c>
      <c r="F3" s="280"/>
      <c r="G3" s="281"/>
      <c r="H3" s="281"/>
      <c r="I3" s="281"/>
      <c r="J3" s="5"/>
    </row>
    <row r="4" spans="1:10">
      <c r="A4" s="195"/>
    </row>
    <row r="5" spans="1:10">
      <c r="A5" s="196" t="s">
        <v>245</v>
      </c>
    </row>
    <row r="6" spans="1:10" ht="14.25">
      <c r="A6" s="127" t="s">
        <v>179</v>
      </c>
      <c r="B6" s="190" t="s">
        <v>223</v>
      </c>
      <c r="D6" s="48"/>
      <c r="F6" s="127" t="s">
        <v>180</v>
      </c>
      <c r="H6" s="190" t="s">
        <v>224</v>
      </c>
    </row>
    <row r="7" spans="1:10" ht="14.25" thickBot="1">
      <c r="D7" s="48"/>
      <c r="F7" s="139" t="s">
        <v>163</v>
      </c>
      <c r="G7" s="161" t="str">
        <f>IFERROR(VLOOKUP(B26,表!B4:C33,2,FALSE),"")</f>
        <v/>
      </c>
      <c r="H7" s="140" t="s">
        <v>167</v>
      </c>
    </row>
    <row r="8" spans="1:10">
      <c r="A8" s="270" t="s">
        <v>0</v>
      </c>
      <c r="B8" s="74" t="s">
        <v>15</v>
      </c>
      <c r="C8" s="65" t="s">
        <v>1</v>
      </c>
      <c r="D8" s="66" t="s">
        <v>17</v>
      </c>
      <c r="F8" s="270" t="s">
        <v>0</v>
      </c>
      <c r="G8" s="78" t="s">
        <v>15</v>
      </c>
      <c r="H8" s="65" t="s">
        <v>1</v>
      </c>
      <c r="I8" s="66" t="s">
        <v>17</v>
      </c>
      <c r="J8" s="12"/>
    </row>
    <row r="9" spans="1:10" ht="14.25" thickBot="1">
      <c r="A9" s="271"/>
      <c r="B9" s="82" t="s">
        <v>79</v>
      </c>
      <c r="C9" s="83" t="s">
        <v>80</v>
      </c>
      <c r="D9" s="84" t="s">
        <v>80</v>
      </c>
      <c r="F9" s="271"/>
      <c r="G9" s="87" t="s">
        <v>79</v>
      </c>
      <c r="H9" s="83" t="s">
        <v>80</v>
      </c>
      <c r="I9" s="84" t="s">
        <v>80</v>
      </c>
      <c r="J9" s="12"/>
    </row>
    <row r="10" spans="1:10">
      <c r="A10" s="162" t="s">
        <v>2</v>
      </c>
      <c r="B10" s="80"/>
      <c r="C10" s="41"/>
      <c r="D10" s="81">
        <f t="shared" ref="D10:D25" si="0">B10*C10</f>
        <v>0</v>
      </c>
      <c r="E10" s="144">
        <f t="shared" ref="E10:E25" si="1">IF(AND(B10=0,C10=0),0,IF(B10*C10=0,"←入力不備",""))</f>
        <v>0</v>
      </c>
      <c r="F10" s="162" t="s">
        <v>2</v>
      </c>
      <c r="G10" s="85"/>
      <c r="H10" s="86" t="str">
        <f t="shared" ref="H10:H25" si="2">IF(C10=0,"",C10)</f>
        <v/>
      </c>
      <c r="I10" s="81" t="str">
        <f t="shared" ref="I10:I25" si="3">IFERROR(G10*H10,"")</f>
        <v/>
      </c>
      <c r="J10" s="10"/>
    </row>
    <row r="11" spans="1:10">
      <c r="A11" s="163" t="s">
        <v>3</v>
      </c>
      <c r="B11" s="75"/>
      <c r="C11" s="4"/>
      <c r="D11" s="68">
        <f t="shared" si="0"/>
        <v>0</v>
      </c>
      <c r="E11" s="144">
        <f t="shared" si="1"/>
        <v>0</v>
      </c>
      <c r="F11" s="163" t="s">
        <v>3</v>
      </c>
      <c r="G11" s="79"/>
      <c r="H11" s="13" t="str">
        <f t="shared" si="2"/>
        <v/>
      </c>
      <c r="I11" s="68" t="str">
        <f t="shared" si="3"/>
        <v/>
      </c>
      <c r="J11" s="10"/>
    </row>
    <row r="12" spans="1:10">
      <c r="A12" s="163" t="s">
        <v>18</v>
      </c>
      <c r="B12" s="75"/>
      <c r="C12" s="4"/>
      <c r="D12" s="68">
        <f t="shared" si="0"/>
        <v>0</v>
      </c>
      <c r="E12" s="144">
        <f t="shared" si="1"/>
        <v>0</v>
      </c>
      <c r="F12" s="163" t="s">
        <v>18</v>
      </c>
      <c r="G12" s="79"/>
      <c r="H12" s="13" t="str">
        <f t="shared" si="2"/>
        <v/>
      </c>
      <c r="I12" s="68" t="str">
        <f t="shared" si="3"/>
        <v/>
      </c>
      <c r="J12" s="10"/>
    </row>
    <row r="13" spans="1:10">
      <c r="A13" s="163" t="s">
        <v>4</v>
      </c>
      <c r="B13" s="75"/>
      <c r="C13" s="4"/>
      <c r="D13" s="68">
        <f t="shared" si="0"/>
        <v>0</v>
      </c>
      <c r="E13" s="144">
        <f t="shared" si="1"/>
        <v>0</v>
      </c>
      <c r="F13" s="163" t="s">
        <v>4</v>
      </c>
      <c r="G13" s="79"/>
      <c r="H13" s="13" t="str">
        <f t="shared" si="2"/>
        <v/>
      </c>
      <c r="I13" s="68" t="str">
        <f t="shared" si="3"/>
        <v/>
      </c>
      <c r="J13" s="10"/>
    </row>
    <row r="14" spans="1:10">
      <c r="A14" s="163" t="s">
        <v>5</v>
      </c>
      <c r="B14" s="75"/>
      <c r="C14" s="4"/>
      <c r="D14" s="68">
        <f t="shared" si="0"/>
        <v>0</v>
      </c>
      <c r="E14" s="144">
        <f t="shared" si="1"/>
        <v>0</v>
      </c>
      <c r="F14" s="163" t="s">
        <v>5</v>
      </c>
      <c r="G14" s="79"/>
      <c r="H14" s="13" t="str">
        <f t="shared" si="2"/>
        <v/>
      </c>
      <c r="I14" s="68" t="str">
        <f t="shared" si="3"/>
        <v/>
      </c>
      <c r="J14" s="10"/>
    </row>
    <row r="15" spans="1:10">
      <c r="A15" s="163" t="s">
        <v>6</v>
      </c>
      <c r="B15" s="75"/>
      <c r="C15" s="4"/>
      <c r="D15" s="68">
        <f t="shared" si="0"/>
        <v>0</v>
      </c>
      <c r="E15" s="144">
        <f t="shared" si="1"/>
        <v>0</v>
      </c>
      <c r="F15" s="163" t="s">
        <v>6</v>
      </c>
      <c r="G15" s="79"/>
      <c r="H15" s="13" t="str">
        <f t="shared" si="2"/>
        <v/>
      </c>
      <c r="I15" s="68" t="str">
        <f t="shared" si="3"/>
        <v/>
      </c>
      <c r="J15" s="10"/>
    </row>
    <row r="16" spans="1:10">
      <c r="A16" s="163" t="s">
        <v>7</v>
      </c>
      <c r="B16" s="75"/>
      <c r="C16" s="4"/>
      <c r="D16" s="68">
        <f t="shared" si="0"/>
        <v>0</v>
      </c>
      <c r="E16" s="144">
        <f t="shared" si="1"/>
        <v>0</v>
      </c>
      <c r="F16" s="163" t="s">
        <v>7</v>
      </c>
      <c r="G16" s="79"/>
      <c r="H16" s="13" t="str">
        <f t="shared" si="2"/>
        <v/>
      </c>
      <c r="I16" s="68" t="str">
        <f t="shared" si="3"/>
        <v/>
      </c>
      <c r="J16" s="10"/>
    </row>
    <row r="17" spans="1:10">
      <c r="A17" s="163" t="s">
        <v>8</v>
      </c>
      <c r="B17" s="75"/>
      <c r="C17" s="4"/>
      <c r="D17" s="68">
        <f>B17*C17</f>
        <v>0</v>
      </c>
      <c r="E17" s="144">
        <f t="shared" si="1"/>
        <v>0</v>
      </c>
      <c r="F17" s="163" t="s">
        <v>8</v>
      </c>
      <c r="G17" s="79"/>
      <c r="H17" s="13" t="str">
        <f t="shared" si="2"/>
        <v/>
      </c>
      <c r="I17" s="68" t="str">
        <f t="shared" si="3"/>
        <v/>
      </c>
      <c r="J17" s="10"/>
    </row>
    <row r="18" spans="1:10">
      <c r="A18" s="163" t="s">
        <v>9</v>
      </c>
      <c r="B18" s="75"/>
      <c r="C18" s="4"/>
      <c r="D18" s="68">
        <f t="shared" si="0"/>
        <v>0</v>
      </c>
      <c r="E18" s="144">
        <f t="shared" si="1"/>
        <v>0</v>
      </c>
      <c r="F18" s="163" t="s">
        <v>9</v>
      </c>
      <c r="G18" s="79"/>
      <c r="H18" s="13" t="str">
        <f t="shared" si="2"/>
        <v/>
      </c>
      <c r="I18" s="68" t="str">
        <f t="shared" si="3"/>
        <v/>
      </c>
      <c r="J18" s="10"/>
    </row>
    <row r="19" spans="1:10">
      <c r="A19" s="163" t="s">
        <v>10</v>
      </c>
      <c r="B19" s="75"/>
      <c r="C19" s="4"/>
      <c r="D19" s="68">
        <f t="shared" si="0"/>
        <v>0</v>
      </c>
      <c r="E19" s="144">
        <f t="shared" si="1"/>
        <v>0</v>
      </c>
      <c r="F19" s="163" t="s">
        <v>10</v>
      </c>
      <c r="G19" s="79"/>
      <c r="H19" s="13" t="str">
        <f t="shared" si="2"/>
        <v/>
      </c>
      <c r="I19" s="68" t="str">
        <f t="shared" si="3"/>
        <v/>
      </c>
      <c r="J19" s="10"/>
    </row>
    <row r="20" spans="1:10">
      <c r="A20" s="163" t="s">
        <v>11</v>
      </c>
      <c r="B20" s="75"/>
      <c r="C20" s="4"/>
      <c r="D20" s="68">
        <f t="shared" si="0"/>
        <v>0</v>
      </c>
      <c r="E20" s="144">
        <f t="shared" si="1"/>
        <v>0</v>
      </c>
      <c r="F20" s="163" t="s">
        <v>11</v>
      </c>
      <c r="G20" s="79"/>
      <c r="H20" s="13" t="str">
        <f t="shared" si="2"/>
        <v/>
      </c>
      <c r="I20" s="68" t="str">
        <f t="shared" si="3"/>
        <v/>
      </c>
      <c r="J20" s="10"/>
    </row>
    <row r="21" spans="1:10">
      <c r="A21" s="163" t="s">
        <v>12</v>
      </c>
      <c r="B21" s="75"/>
      <c r="C21" s="4"/>
      <c r="D21" s="68">
        <f t="shared" si="0"/>
        <v>0</v>
      </c>
      <c r="E21" s="144">
        <f t="shared" si="1"/>
        <v>0</v>
      </c>
      <c r="F21" s="163" t="s">
        <v>12</v>
      </c>
      <c r="G21" s="79"/>
      <c r="H21" s="13" t="str">
        <f t="shared" si="2"/>
        <v/>
      </c>
      <c r="I21" s="68" t="str">
        <f t="shared" si="3"/>
        <v/>
      </c>
      <c r="J21" s="10"/>
    </row>
    <row r="22" spans="1:10">
      <c r="A22" s="163" t="s">
        <v>13</v>
      </c>
      <c r="B22" s="75"/>
      <c r="C22" s="4"/>
      <c r="D22" s="68">
        <f t="shared" si="0"/>
        <v>0</v>
      </c>
      <c r="E22" s="144">
        <f t="shared" si="1"/>
        <v>0</v>
      </c>
      <c r="F22" s="163" t="s">
        <v>13</v>
      </c>
      <c r="G22" s="79"/>
      <c r="H22" s="13" t="str">
        <f t="shared" si="2"/>
        <v/>
      </c>
      <c r="I22" s="68" t="str">
        <f t="shared" si="3"/>
        <v/>
      </c>
      <c r="J22" s="10"/>
    </row>
    <row r="23" spans="1:10">
      <c r="A23" s="163" t="s">
        <v>14</v>
      </c>
      <c r="B23" s="75"/>
      <c r="C23" s="4"/>
      <c r="D23" s="68">
        <f t="shared" si="0"/>
        <v>0</v>
      </c>
      <c r="E23" s="144">
        <f t="shared" si="1"/>
        <v>0</v>
      </c>
      <c r="F23" s="163" t="s">
        <v>14</v>
      </c>
      <c r="G23" s="79"/>
      <c r="H23" s="13" t="str">
        <f t="shared" si="2"/>
        <v/>
      </c>
      <c r="I23" s="68" t="str">
        <f t="shared" si="3"/>
        <v/>
      </c>
      <c r="J23" s="10"/>
    </row>
    <row r="24" spans="1:10">
      <c r="A24" s="163"/>
      <c r="B24" s="75"/>
      <c r="C24" s="4"/>
      <c r="D24" s="68">
        <f t="shared" si="0"/>
        <v>0</v>
      </c>
      <c r="E24" s="144">
        <f t="shared" si="1"/>
        <v>0</v>
      </c>
      <c r="F24" s="163"/>
      <c r="G24" s="79"/>
      <c r="H24" s="13" t="str">
        <f t="shared" si="2"/>
        <v/>
      </c>
      <c r="I24" s="68" t="str">
        <f t="shared" si="3"/>
        <v/>
      </c>
      <c r="J24" s="10"/>
    </row>
    <row r="25" spans="1:10" ht="14.25" thickBot="1">
      <c r="A25" s="164"/>
      <c r="B25" s="76"/>
      <c r="C25" s="73"/>
      <c r="D25" s="70">
        <f t="shared" si="0"/>
        <v>0</v>
      </c>
      <c r="E25" s="144">
        <f t="shared" si="1"/>
        <v>0</v>
      </c>
      <c r="F25" s="165"/>
      <c r="G25" s="88"/>
      <c r="H25" s="89" t="str">
        <f t="shared" si="2"/>
        <v/>
      </c>
      <c r="I25" s="90" t="str">
        <f t="shared" si="3"/>
        <v/>
      </c>
      <c r="J25" s="10"/>
    </row>
    <row r="26" spans="1:10" ht="14.25" thickBot="1">
      <c r="A26" s="77" t="s">
        <v>16</v>
      </c>
      <c r="B26" s="159" t="str">
        <f>IF(SUM(B10:B25),SUM(B10:B25)," ")</f>
        <v xml:space="preserve"> </v>
      </c>
      <c r="C26" s="71"/>
      <c r="D26" s="157" t="str">
        <f>IF(SUM(D10:D25),SUM(D10:D25)," ")</f>
        <v xml:space="preserve"> </v>
      </c>
      <c r="E26" s="18"/>
      <c r="F26" s="91" t="s">
        <v>27</v>
      </c>
      <c r="G26" s="92" t="str">
        <f>IF(SUM(G10:G25),SUM(G10:G25),"")</f>
        <v/>
      </c>
      <c r="H26" s="93" t="s">
        <v>132</v>
      </c>
      <c r="I26" s="238" t="str">
        <f>IF(SUM(I10:I25),SUM(I10:I25)," ")</f>
        <v xml:space="preserve"> </v>
      </c>
      <c r="J26" s="10"/>
    </row>
    <row r="27" spans="1:10">
      <c r="A27" s="8"/>
      <c r="C27" s="8"/>
      <c r="F27" s="47" t="str">
        <f>IF(G26="","",IF(G26&gt;G7,"同時使用水栓数が多すぎます。同時使用水栓数目標値："&amp;G7,IF(G26&lt;G7,"同時使用水栓数が足りていません。同時使用水栓数目標値："&amp;G7,"")))</f>
        <v/>
      </c>
      <c r="G27" s="44"/>
      <c r="H27" s="44"/>
      <c r="I27" s="44"/>
      <c r="J27" s="44"/>
    </row>
    <row r="28" spans="1:10" ht="15" thickBot="1">
      <c r="A28" s="128" t="s">
        <v>210</v>
      </c>
      <c r="C28" s="8"/>
      <c r="F28" s="47"/>
      <c r="G28" s="44"/>
      <c r="H28" s="44"/>
      <c r="I28" s="44"/>
      <c r="J28" s="44"/>
    </row>
    <row r="29" spans="1:10">
      <c r="A29" s="95" t="s">
        <v>133</v>
      </c>
      <c r="B29" s="96"/>
      <c r="C29" s="97" t="s">
        <v>134</v>
      </c>
      <c r="D29" s="22"/>
      <c r="E29" s="22"/>
      <c r="F29" s="22"/>
      <c r="G29" s="22"/>
    </row>
    <row r="30" spans="1:10" ht="14.25" customHeight="1">
      <c r="A30" s="178" t="s">
        <v>205</v>
      </c>
      <c r="B30" s="58" t="str">
        <f>IFERROR(I26*B29,"")</f>
        <v/>
      </c>
      <c r="C30" s="174" t="s">
        <v>168</v>
      </c>
      <c r="D30" s="94"/>
      <c r="E30" s="57"/>
      <c r="F30" s="38"/>
      <c r="G30" s="22"/>
    </row>
    <row r="31" spans="1:10">
      <c r="A31" s="98" t="s">
        <v>154</v>
      </c>
      <c r="B31" s="56" t="str">
        <f>IFERROR(VLOOKUP(B29,表!B159:C218,2,FALSE),"")</f>
        <v/>
      </c>
      <c r="C31" s="99" t="s">
        <v>155</v>
      </c>
      <c r="D31" s="191" t="s">
        <v>225</v>
      </c>
      <c r="E31" s="22"/>
      <c r="F31" s="290" t="s">
        <v>261</v>
      </c>
      <c r="G31" s="286" t="str">
        <f>IFERROR(B32/B29,"")</f>
        <v/>
      </c>
      <c r="H31" s="288" t="s">
        <v>260</v>
      </c>
    </row>
    <row r="32" spans="1:10">
      <c r="A32" s="220" t="s">
        <v>158</v>
      </c>
      <c r="B32" s="233" t="str">
        <f>IFERROR(B30*B31*0.01,"")</f>
        <v/>
      </c>
      <c r="C32" s="221" t="s">
        <v>157</v>
      </c>
      <c r="D32" s="272" t="s">
        <v>165</v>
      </c>
      <c r="E32" s="273"/>
      <c r="F32" s="291"/>
      <c r="G32" s="287"/>
      <c r="H32" s="289"/>
    </row>
    <row r="33" spans="1:11" ht="14.25" thickBot="1">
      <c r="A33" s="100" t="s">
        <v>164</v>
      </c>
      <c r="B33" s="101"/>
      <c r="C33" s="102" t="s">
        <v>28</v>
      </c>
    </row>
    <row r="35" spans="1:11" ht="15" thickBot="1">
      <c r="A35" s="129" t="s">
        <v>181</v>
      </c>
    </row>
    <row r="36" spans="1:11">
      <c r="A36" s="103" t="s">
        <v>29</v>
      </c>
      <c r="B36" s="104" t="str">
        <f>IFERROR(I26/1000/60,"")</f>
        <v/>
      </c>
      <c r="C36" s="111" t="s">
        <v>178</v>
      </c>
    </row>
    <row r="37" spans="1:11">
      <c r="A37" s="67" t="s">
        <v>30</v>
      </c>
      <c r="B37" s="6">
        <v>2</v>
      </c>
      <c r="C37" s="155" t="s">
        <v>177</v>
      </c>
      <c r="D37" s="276" t="str">
        <f>IF(B37&gt;2,"設定値が上限を超えています。（2.0以下とする)","")</f>
        <v/>
      </c>
      <c r="E37" s="276"/>
      <c r="F37" s="276"/>
      <c r="G37" s="276"/>
    </row>
    <row r="38" spans="1:11" ht="14.25" thickBot="1">
      <c r="A38" s="106" t="s">
        <v>166</v>
      </c>
      <c r="B38" s="107" t="str">
        <f>IFERROR(ROUND((SQRT(4*B36/(PI()*B37))*1000),0),"")</f>
        <v/>
      </c>
      <c r="C38" s="108" t="s">
        <v>31</v>
      </c>
      <c r="D38" s="272" t="s">
        <v>165</v>
      </c>
      <c r="E38" s="273"/>
      <c r="F38" s="166" t="s">
        <v>137</v>
      </c>
      <c r="G38" s="64" t="str">
        <f>IFERROR(VLOOKUP(B38,表!B37:C82,2,FALSE),"")</f>
        <v/>
      </c>
      <c r="H38" s="63" t="s">
        <v>33</v>
      </c>
    </row>
    <row r="39" spans="1:11">
      <c r="F39" s="167"/>
      <c r="I39" s="37"/>
    </row>
    <row r="40" spans="1:11" ht="15" thickBot="1">
      <c r="A40" s="129" t="s">
        <v>182</v>
      </c>
      <c r="B40" s="8"/>
      <c r="F40" s="167"/>
    </row>
    <row r="41" spans="1:11">
      <c r="A41" s="103" t="s">
        <v>29</v>
      </c>
      <c r="B41" s="104" t="str">
        <f>IFERROR(B32/1000/60,"")</f>
        <v/>
      </c>
      <c r="C41" s="105" t="s">
        <v>178</v>
      </c>
      <c r="F41" s="167"/>
    </row>
    <row r="42" spans="1:11">
      <c r="A42" s="109" t="s">
        <v>30</v>
      </c>
      <c r="B42" s="27">
        <v>2</v>
      </c>
      <c r="C42" s="156" t="s">
        <v>177</v>
      </c>
      <c r="F42" s="167"/>
    </row>
    <row r="43" spans="1:11" ht="14.25" thickBot="1">
      <c r="A43" s="69" t="s">
        <v>169</v>
      </c>
      <c r="B43" s="110" t="str">
        <f>IFERROR(ROUND((SQRT(4*B41/(PI()*B42))*1000),0),"")</f>
        <v/>
      </c>
      <c r="C43" s="108" t="s">
        <v>170</v>
      </c>
      <c r="D43" s="272" t="s">
        <v>171</v>
      </c>
      <c r="E43" s="273"/>
      <c r="F43" s="166" t="s">
        <v>138</v>
      </c>
      <c r="G43" s="64" t="str">
        <f>IFERROR(VLOOKUP(B43,表!B37:C107,2,FALSE),"")</f>
        <v/>
      </c>
      <c r="H43" s="63" t="s">
        <v>33</v>
      </c>
    </row>
    <row r="44" spans="1:11">
      <c r="A44" s="12"/>
      <c r="B44" s="12"/>
      <c r="C44" s="25"/>
      <c r="D44" s="8"/>
      <c r="F44" s="167"/>
    </row>
    <row r="45" spans="1:11" ht="15" thickBot="1">
      <c r="A45" s="130" t="s">
        <v>183</v>
      </c>
    </row>
    <row r="46" spans="1:11" ht="13.5" customHeight="1">
      <c r="A46" s="262" t="s">
        <v>55</v>
      </c>
      <c r="B46" s="252" t="s">
        <v>153</v>
      </c>
      <c r="C46" s="264"/>
      <c r="D46" s="117" t="s">
        <v>32</v>
      </c>
      <c r="E46" s="112" t="s">
        <v>45</v>
      </c>
      <c r="F46" s="112" t="s">
        <v>77</v>
      </c>
      <c r="G46" s="112" t="s">
        <v>43</v>
      </c>
      <c r="H46" s="112" t="s">
        <v>152</v>
      </c>
      <c r="I46" s="66" t="s">
        <v>44</v>
      </c>
      <c r="J46" s="245" t="s">
        <v>162</v>
      </c>
      <c r="K46" s="245" t="s">
        <v>161</v>
      </c>
    </row>
    <row r="47" spans="1:11" ht="14.25" thickBot="1">
      <c r="A47" s="263"/>
      <c r="B47" s="254"/>
      <c r="C47" s="265"/>
      <c r="D47" s="124" t="s">
        <v>83</v>
      </c>
      <c r="E47" s="125" t="s">
        <v>168</v>
      </c>
      <c r="F47" s="125" t="s">
        <v>82</v>
      </c>
      <c r="G47" s="125" t="s">
        <v>81</v>
      </c>
      <c r="H47" s="125" t="s">
        <v>85</v>
      </c>
      <c r="I47" s="126" t="s">
        <v>84</v>
      </c>
      <c r="J47" s="245"/>
      <c r="K47" s="245"/>
    </row>
    <row r="48" spans="1:11">
      <c r="A48" s="120" t="s">
        <v>185</v>
      </c>
      <c r="B48" s="266" t="s">
        <v>46</v>
      </c>
      <c r="C48" s="267"/>
      <c r="D48" s="121"/>
      <c r="E48" s="122"/>
      <c r="F48" s="30" t="str">
        <f t="shared" ref="F48:F58" si="4">IFERROR((E48/1000/60)/((D48/1000)^2*PI()/4),"  ")</f>
        <v xml:space="preserve">  </v>
      </c>
      <c r="G48" s="30" t="str">
        <f t="shared" ref="G48:G58" si="5">IFERROR(I48/H48*1000," ")</f>
        <v xml:space="preserve"> </v>
      </c>
      <c r="H48" s="122"/>
      <c r="I48" s="123" t="str">
        <f>IF(D48&lt;=50,J48,K48)</f>
        <v>　</v>
      </c>
      <c r="J48" t="str">
        <f t="shared" ref="J48:J84" si="6">IFERROR(((0.0126+(0.01739-0.1087*(D48/1000))/SQRT(F48))*H48/(D48/1000)*F48^2/(2*9.8)),"　")</f>
        <v>　</v>
      </c>
      <c r="K48" t="str">
        <f t="shared" ref="K48:K84" si="7">IFERROR(10.666*(140^(-1.85) )*((D48/1000)^(-4.87))*(((E48/1000)/60)^1.85)*H48,"")</f>
        <v/>
      </c>
    </row>
    <row r="49" spans="1:11">
      <c r="A49" s="113" t="s">
        <v>58</v>
      </c>
      <c r="B49" s="268" t="s">
        <v>47</v>
      </c>
      <c r="C49" s="269"/>
      <c r="D49" s="118"/>
      <c r="E49" s="6"/>
      <c r="F49" s="2" t="str">
        <f t="shared" si="4"/>
        <v xml:space="preserve">  </v>
      </c>
      <c r="G49" s="2" t="str">
        <f t="shared" si="5"/>
        <v xml:space="preserve"> </v>
      </c>
      <c r="H49" s="6"/>
      <c r="I49" s="114" t="str">
        <f t="shared" ref="I49:I56" si="8">IF(D49&lt;=50,J49,K49)</f>
        <v>　</v>
      </c>
      <c r="J49" t="str">
        <f t="shared" si="6"/>
        <v>　</v>
      </c>
      <c r="K49" t="str">
        <f t="shared" si="7"/>
        <v/>
      </c>
    </row>
    <row r="50" spans="1:11">
      <c r="A50" s="113" t="s">
        <v>59</v>
      </c>
      <c r="B50" s="268" t="s">
        <v>48</v>
      </c>
      <c r="C50" s="269"/>
      <c r="D50" s="118"/>
      <c r="E50" s="6"/>
      <c r="F50" s="2" t="str">
        <f t="shared" si="4"/>
        <v xml:space="preserve">  </v>
      </c>
      <c r="G50" s="2" t="str">
        <f t="shared" si="5"/>
        <v xml:space="preserve"> </v>
      </c>
      <c r="H50" s="6"/>
      <c r="I50" s="114" t="str">
        <f t="shared" si="8"/>
        <v>　</v>
      </c>
      <c r="J50" t="str">
        <f t="shared" si="6"/>
        <v>　</v>
      </c>
      <c r="K50" t="str">
        <f t="shared" si="7"/>
        <v/>
      </c>
    </row>
    <row r="51" spans="1:11">
      <c r="A51" s="113" t="s">
        <v>60</v>
      </c>
      <c r="B51" s="268" t="s">
        <v>49</v>
      </c>
      <c r="C51" s="269"/>
      <c r="D51" s="118"/>
      <c r="E51" s="6"/>
      <c r="F51" s="2" t="str">
        <f t="shared" si="4"/>
        <v xml:space="preserve">  </v>
      </c>
      <c r="G51" s="2" t="str">
        <f t="shared" si="5"/>
        <v xml:space="preserve"> </v>
      </c>
      <c r="H51" s="6"/>
      <c r="I51" s="114" t="str">
        <f t="shared" si="8"/>
        <v>　</v>
      </c>
      <c r="J51" t="str">
        <f t="shared" si="6"/>
        <v>　</v>
      </c>
      <c r="K51" t="str">
        <f t="shared" si="7"/>
        <v/>
      </c>
    </row>
    <row r="52" spans="1:11">
      <c r="A52" s="113" t="s">
        <v>61</v>
      </c>
      <c r="B52" s="268" t="s">
        <v>50</v>
      </c>
      <c r="C52" s="269"/>
      <c r="D52" s="118"/>
      <c r="E52" s="6"/>
      <c r="F52" s="2" t="str">
        <f t="shared" si="4"/>
        <v xml:space="preserve">  </v>
      </c>
      <c r="G52" s="2" t="str">
        <f t="shared" si="5"/>
        <v xml:space="preserve"> </v>
      </c>
      <c r="H52" s="6"/>
      <c r="I52" s="114" t="str">
        <f t="shared" si="8"/>
        <v>　</v>
      </c>
      <c r="J52" t="str">
        <f t="shared" si="6"/>
        <v>　</v>
      </c>
      <c r="K52" t="str">
        <f t="shared" si="7"/>
        <v/>
      </c>
    </row>
    <row r="53" spans="1:11">
      <c r="A53" s="113" t="s">
        <v>62</v>
      </c>
      <c r="B53" s="268" t="s">
        <v>51</v>
      </c>
      <c r="C53" s="269"/>
      <c r="D53" s="118"/>
      <c r="E53" s="6"/>
      <c r="F53" s="2" t="str">
        <f t="shared" si="4"/>
        <v xml:space="preserve">  </v>
      </c>
      <c r="G53" s="2" t="str">
        <f t="shared" si="5"/>
        <v xml:space="preserve"> </v>
      </c>
      <c r="H53" s="6"/>
      <c r="I53" s="114" t="str">
        <f t="shared" si="8"/>
        <v>　</v>
      </c>
      <c r="J53" t="str">
        <f t="shared" si="6"/>
        <v>　</v>
      </c>
      <c r="K53" t="str">
        <f t="shared" si="7"/>
        <v/>
      </c>
    </row>
    <row r="54" spans="1:11">
      <c r="A54" s="113" t="s">
        <v>63</v>
      </c>
      <c r="B54" s="268" t="s">
        <v>52</v>
      </c>
      <c r="C54" s="269"/>
      <c r="D54" s="118"/>
      <c r="E54" s="6"/>
      <c r="F54" s="2" t="str">
        <f t="shared" si="4"/>
        <v xml:space="preserve">  </v>
      </c>
      <c r="G54" s="2" t="str">
        <f t="shared" si="5"/>
        <v xml:space="preserve"> </v>
      </c>
      <c r="H54" s="6"/>
      <c r="I54" s="114" t="str">
        <f t="shared" si="8"/>
        <v>　</v>
      </c>
      <c r="J54" t="str">
        <f t="shared" si="6"/>
        <v>　</v>
      </c>
      <c r="K54" t="str">
        <f t="shared" si="7"/>
        <v/>
      </c>
    </row>
    <row r="55" spans="1:11">
      <c r="A55" s="113" t="s">
        <v>64</v>
      </c>
      <c r="B55" s="268" t="s">
        <v>53</v>
      </c>
      <c r="C55" s="269"/>
      <c r="D55" s="118"/>
      <c r="E55" s="6"/>
      <c r="F55" s="2" t="str">
        <f t="shared" si="4"/>
        <v xml:space="preserve">  </v>
      </c>
      <c r="G55" s="2" t="str">
        <f t="shared" si="5"/>
        <v xml:space="preserve"> </v>
      </c>
      <c r="H55" s="6"/>
      <c r="I55" s="114" t="str">
        <f t="shared" si="8"/>
        <v>　</v>
      </c>
      <c r="J55" t="str">
        <f t="shared" si="6"/>
        <v>　</v>
      </c>
      <c r="K55" t="str">
        <f t="shared" si="7"/>
        <v/>
      </c>
    </row>
    <row r="56" spans="1:11">
      <c r="A56" s="113" t="s">
        <v>65</v>
      </c>
      <c r="B56" s="268" t="s">
        <v>54</v>
      </c>
      <c r="C56" s="269"/>
      <c r="D56" s="118"/>
      <c r="E56" s="6"/>
      <c r="F56" s="2" t="str">
        <f t="shared" si="4"/>
        <v xml:space="preserve">  </v>
      </c>
      <c r="G56" s="2" t="str">
        <f t="shared" si="5"/>
        <v xml:space="preserve"> </v>
      </c>
      <c r="H56" s="6"/>
      <c r="I56" s="114" t="str">
        <f t="shared" si="8"/>
        <v>　</v>
      </c>
      <c r="J56" t="str">
        <f t="shared" si="6"/>
        <v>　</v>
      </c>
      <c r="K56" t="str">
        <f t="shared" si="7"/>
        <v/>
      </c>
    </row>
    <row r="57" spans="1:11">
      <c r="A57" s="120" t="s">
        <v>144</v>
      </c>
      <c r="B57" s="258" t="s">
        <v>175</v>
      </c>
      <c r="C57" s="259"/>
      <c r="D57" s="121"/>
      <c r="E57" s="122"/>
      <c r="F57" s="30" t="str">
        <f t="shared" si="4"/>
        <v xml:space="preserve">  </v>
      </c>
      <c r="G57" s="30" t="str">
        <f t="shared" si="5"/>
        <v xml:space="preserve"> </v>
      </c>
      <c r="H57" s="122"/>
      <c r="I57" s="123" t="str">
        <f>IF(D57&lt;=50,J57,K57)</f>
        <v>　</v>
      </c>
      <c r="J57" t="str">
        <f t="shared" si="6"/>
        <v>　</v>
      </c>
      <c r="K57" t="str">
        <f>IFERROR(10.666*(140^(-1.85) )*((D57/1000)^(-4.87))*(((E57/1000)/60)^1.85)*H57,"")</f>
        <v/>
      </c>
    </row>
    <row r="58" spans="1:11" ht="14.25" thickBot="1">
      <c r="A58" s="119" t="s">
        <v>145</v>
      </c>
      <c r="B58" s="260" t="s">
        <v>176</v>
      </c>
      <c r="C58" s="261"/>
      <c r="D58" s="118"/>
      <c r="E58" s="6"/>
      <c r="F58" s="26" t="str">
        <f t="shared" si="4"/>
        <v xml:space="preserve">  </v>
      </c>
      <c r="G58" s="26" t="str">
        <f t="shared" si="5"/>
        <v xml:space="preserve"> </v>
      </c>
      <c r="H58" s="6"/>
      <c r="I58" s="123" t="str">
        <f>IF(D58&lt;=50,J58,K58)</f>
        <v>　</v>
      </c>
      <c r="J58" t="str">
        <f t="shared" si="6"/>
        <v>　</v>
      </c>
      <c r="K58" t="str">
        <f t="shared" si="7"/>
        <v/>
      </c>
    </row>
    <row r="59" spans="1:11" ht="14.25" thickBot="1">
      <c r="A59" s="248" t="s">
        <v>57</v>
      </c>
      <c r="B59" s="249"/>
      <c r="C59" s="249"/>
      <c r="D59" s="250"/>
      <c r="E59" s="250"/>
      <c r="F59" s="250"/>
      <c r="G59" s="250"/>
      <c r="H59" s="251"/>
      <c r="I59" s="116" t="str">
        <f>IF(SUM(I48:I58),SUM(I48:I58)," ")</f>
        <v xml:space="preserve"> </v>
      </c>
      <c r="J59" t="str">
        <f t="shared" si="6"/>
        <v>　</v>
      </c>
      <c r="K59" t="str">
        <f t="shared" si="7"/>
        <v/>
      </c>
    </row>
    <row r="60" spans="1:11">
      <c r="A60" s="8"/>
      <c r="J60" t="str">
        <f t="shared" si="6"/>
        <v>　</v>
      </c>
      <c r="K60" t="str">
        <f t="shared" si="7"/>
        <v/>
      </c>
    </row>
    <row r="61" spans="1:11" ht="15" thickBot="1">
      <c r="A61" s="131" t="s">
        <v>184</v>
      </c>
      <c r="C61" s="190" t="s">
        <v>226</v>
      </c>
      <c r="J61" t="str">
        <f t="shared" si="6"/>
        <v>　</v>
      </c>
      <c r="K61" t="str">
        <f t="shared" si="7"/>
        <v/>
      </c>
    </row>
    <row r="62" spans="1:11">
      <c r="A62" s="262" t="s">
        <v>55</v>
      </c>
      <c r="B62" s="252" t="s">
        <v>75</v>
      </c>
      <c r="C62" s="253"/>
      <c r="D62" s="112" t="s">
        <v>126</v>
      </c>
      <c r="E62" s="112" t="s">
        <v>45</v>
      </c>
      <c r="F62" s="112" t="s">
        <v>77</v>
      </c>
      <c r="G62" s="112" t="s">
        <v>43</v>
      </c>
      <c r="H62" s="112" t="s">
        <v>66</v>
      </c>
      <c r="I62" s="66" t="s">
        <v>44</v>
      </c>
      <c r="J62" t="str">
        <f t="shared" si="6"/>
        <v>　</v>
      </c>
      <c r="K62" t="str">
        <f t="shared" si="7"/>
        <v/>
      </c>
    </row>
    <row r="63" spans="1:11" ht="14.25" thickBot="1">
      <c r="A63" s="263"/>
      <c r="B63" s="254"/>
      <c r="C63" s="255"/>
      <c r="D63" s="125" t="s">
        <v>83</v>
      </c>
      <c r="E63" s="125" t="s">
        <v>172</v>
      </c>
      <c r="F63" s="125" t="s">
        <v>82</v>
      </c>
      <c r="G63" s="125" t="s">
        <v>81</v>
      </c>
      <c r="H63" s="125" t="s">
        <v>85</v>
      </c>
      <c r="I63" s="126" t="s">
        <v>84</v>
      </c>
      <c r="J63" t="str">
        <f t="shared" si="6"/>
        <v>　</v>
      </c>
      <c r="K63" t="str">
        <f t="shared" si="7"/>
        <v/>
      </c>
    </row>
    <row r="64" spans="1:11">
      <c r="A64" s="120"/>
      <c r="B64" s="256"/>
      <c r="C64" s="257"/>
      <c r="D64" s="41"/>
      <c r="E64" s="41"/>
      <c r="F64" s="30" t="str">
        <f t="shared" ref="F64:F85" si="9">IFERROR((E64/1000/60)/((D64/1000)^2*PI()/4),"")</f>
        <v/>
      </c>
      <c r="G64" s="30" t="str">
        <f t="shared" ref="G64:G84" si="10">IFERROR(I64/H64*1000," ")</f>
        <v xml:space="preserve"> </v>
      </c>
      <c r="H64" s="218" t="str">
        <f>IFERROR(INDEX('直管換算表（参考）'!$C$5:$I$29,MATCH(B64,'直管換算表（参考）'!$B$5:$B$29,0),MATCH(D64,'直管換算表（参考）'!$C$4:$I$4,0)),"")</f>
        <v/>
      </c>
      <c r="I64" s="123" t="str">
        <f>IF(D64&lt;=50,J64,K64)</f>
        <v>　</v>
      </c>
      <c r="J64" t="str">
        <f t="shared" si="6"/>
        <v>　</v>
      </c>
      <c r="K64" t="str">
        <f t="shared" si="7"/>
        <v/>
      </c>
    </row>
    <row r="65" spans="1:11">
      <c r="A65" s="113"/>
      <c r="B65" s="246"/>
      <c r="C65" s="247"/>
      <c r="D65" s="4"/>
      <c r="E65" s="4"/>
      <c r="F65" s="2" t="str">
        <f t="shared" si="9"/>
        <v/>
      </c>
      <c r="G65" s="2" t="str">
        <f t="shared" si="10"/>
        <v xml:space="preserve"> </v>
      </c>
      <c r="H65" s="59" t="str">
        <f>IFERROR(INDEX('直管換算表（参考）'!$C$5:$I$29,MATCH(B65,'直管換算表（参考）'!$B$5:$B$29,0),MATCH(D65,'直管換算表（参考）'!$C$4:$I$4,0)),"")</f>
        <v/>
      </c>
      <c r="I65" s="123" t="str">
        <f t="shared" ref="I65:I84" si="11">IF(D65&lt;=50,J65,K65)</f>
        <v>　</v>
      </c>
      <c r="J65" t="str">
        <f t="shared" si="6"/>
        <v>　</v>
      </c>
      <c r="K65" t="str">
        <f t="shared" si="7"/>
        <v/>
      </c>
    </row>
    <row r="66" spans="1:11">
      <c r="A66" s="113"/>
      <c r="B66" s="274"/>
      <c r="C66" s="275"/>
      <c r="D66" s="4"/>
      <c r="E66" s="4"/>
      <c r="F66" s="2" t="str">
        <f t="shared" si="9"/>
        <v/>
      </c>
      <c r="G66" s="2" t="str">
        <f t="shared" si="10"/>
        <v xml:space="preserve"> </v>
      </c>
      <c r="H66" s="59" t="str">
        <f>IFERROR(INDEX('直管換算表（参考）'!$C$5:$I$29,MATCH(B66,'直管換算表（参考）'!$B$5:$B$29,0),MATCH(D66,'直管換算表（参考）'!$C$4:$I$4,0)),"")</f>
        <v/>
      </c>
      <c r="I66" s="123" t="str">
        <f t="shared" si="11"/>
        <v>　</v>
      </c>
      <c r="J66" t="str">
        <f t="shared" si="6"/>
        <v>　</v>
      </c>
      <c r="K66" t="str">
        <f t="shared" si="7"/>
        <v/>
      </c>
    </row>
    <row r="67" spans="1:11">
      <c r="A67" s="113"/>
      <c r="B67" s="274"/>
      <c r="C67" s="275"/>
      <c r="D67" s="4"/>
      <c r="E67" s="4"/>
      <c r="F67" s="2" t="str">
        <f t="shared" si="9"/>
        <v/>
      </c>
      <c r="G67" s="2" t="str">
        <f t="shared" si="10"/>
        <v xml:space="preserve"> </v>
      </c>
      <c r="H67" s="59" t="str">
        <f>IFERROR(INDEX('直管換算表（参考）'!$C$5:$I$29,MATCH(B67,'直管換算表（参考）'!$B$5:$B$29,0),MATCH(D67,'直管換算表（参考）'!$C$4:$I$4,0)),"")</f>
        <v/>
      </c>
      <c r="I67" s="123" t="str">
        <f t="shared" si="11"/>
        <v>　</v>
      </c>
      <c r="J67" t="str">
        <f t="shared" si="6"/>
        <v>　</v>
      </c>
      <c r="K67" t="str">
        <f t="shared" si="7"/>
        <v/>
      </c>
    </row>
    <row r="68" spans="1:11">
      <c r="A68" s="113"/>
      <c r="B68" s="246"/>
      <c r="C68" s="247"/>
      <c r="D68" s="4"/>
      <c r="E68" s="4"/>
      <c r="F68" s="2" t="str">
        <f t="shared" si="9"/>
        <v/>
      </c>
      <c r="G68" s="2" t="str">
        <f t="shared" si="10"/>
        <v xml:space="preserve"> </v>
      </c>
      <c r="H68" s="59" t="str">
        <f>IFERROR(INDEX('直管換算表（参考）'!$C$5:$I$29,MATCH(B68,'直管換算表（参考）'!$B$5:$B$29,0),MATCH(D68,'直管換算表（参考）'!$C$4:$I$4,0)),"")</f>
        <v/>
      </c>
      <c r="I68" s="123" t="str">
        <f t="shared" si="11"/>
        <v>　</v>
      </c>
      <c r="J68" t="str">
        <f t="shared" si="6"/>
        <v>　</v>
      </c>
      <c r="K68" t="str">
        <f t="shared" si="7"/>
        <v/>
      </c>
    </row>
    <row r="69" spans="1:11">
      <c r="A69" s="113"/>
      <c r="B69" s="246"/>
      <c r="C69" s="247"/>
      <c r="D69" s="4"/>
      <c r="E69" s="4"/>
      <c r="F69" s="2" t="str">
        <f t="shared" si="9"/>
        <v/>
      </c>
      <c r="G69" s="2" t="str">
        <f t="shared" si="10"/>
        <v xml:space="preserve"> </v>
      </c>
      <c r="H69" s="59" t="str">
        <f>IFERROR(INDEX('直管換算表（参考）'!$C$5:$I$29,MATCH(B69,'直管換算表（参考）'!$B$5:$B$29,0),MATCH(D69,'直管換算表（参考）'!$C$4:$I$4,0)),"")</f>
        <v/>
      </c>
      <c r="I69" s="123" t="str">
        <f t="shared" si="11"/>
        <v>　</v>
      </c>
      <c r="J69" t="str">
        <f t="shared" si="6"/>
        <v>　</v>
      </c>
      <c r="K69" t="str">
        <f t="shared" si="7"/>
        <v/>
      </c>
    </row>
    <row r="70" spans="1:11">
      <c r="A70" s="113"/>
      <c r="B70" s="246"/>
      <c r="C70" s="247"/>
      <c r="D70" s="4"/>
      <c r="E70" s="4"/>
      <c r="F70" s="2" t="str">
        <f t="shared" si="9"/>
        <v/>
      </c>
      <c r="G70" s="2" t="str">
        <f t="shared" si="10"/>
        <v xml:space="preserve"> </v>
      </c>
      <c r="H70" s="59" t="str">
        <f>IFERROR(INDEX('直管換算表（参考）'!$C$5:$I$29,MATCH(B70,'直管換算表（参考）'!$B$5:$B$29,0),MATCH(D70,'直管換算表（参考）'!$C$4:$I$4,0)),"")</f>
        <v/>
      </c>
      <c r="I70" s="123" t="str">
        <f t="shared" si="11"/>
        <v>　</v>
      </c>
      <c r="J70" t="str">
        <f t="shared" si="6"/>
        <v>　</v>
      </c>
      <c r="K70" t="str">
        <f t="shared" si="7"/>
        <v/>
      </c>
    </row>
    <row r="71" spans="1:11">
      <c r="A71" s="113"/>
      <c r="B71" s="246"/>
      <c r="C71" s="247"/>
      <c r="D71" s="4"/>
      <c r="E71" s="4"/>
      <c r="F71" s="2" t="str">
        <f t="shared" si="9"/>
        <v/>
      </c>
      <c r="G71" s="2" t="str">
        <f t="shared" si="10"/>
        <v xml:space="preserve"> </v>
      </c>
      <c r="H71" s="59" t="str">
        <f>IFERROR(INDEX('直管換算表（参考）'!$C$5:$I$29,MATCH(B71,'直管換算表（参考）'!$B$5:$B$29,0),MATCH(D71,'直管換算表（参考）'!$C$4:$I$4,0)),"")</f>
        <v/>
      </c>
      <c r="I71" s="123" t="str">
        <f t="shared" si="11"/>
        <v>　</v>
      </c>
      <c r="J71" t="str">
        <f t="shared" si="6"/>
        <v>　</v>
      </c>
      <c r="K71" t="str">
        <f t="shared" si="7"/>
        <v/>
      </c>
    </row>
    <row r="72" spans="1:11">
      <c r="A72" s="113"/>
      <c r="B72" s="284"/>
      <c r="C72" s="285"/>
      <c r="D72" s="4"/>
      <c r="E72" s="4"/>
      <c r="F72" s="2" t="str">
        <f t="shared" si="9"/>
        <v/>
      </c>
      <c r="G72" s="2" t="str">
        <f t="shared" si="10"/>
        <v xml:space="preserve"> </v>
      </c>
      <c r="H72" s="59" t="str">
        <f>IFERROR(INDEX('直管換算表（参考）'!$C$5:$I$29,MATCH(B72,'直管換算表（参考）'!$B$5:$B$29,0),MATCH(D72,'直管換算表（参考）'!$C$4:$I$4,0)),"")</f>
        <v/>
      </c>
      <c r="I72" s="123" t="str">
        <f t="shared" si="11"/>
        <v>　</v>
      </c>
      <c r="J72" t="str">
        <f t="shared" si="6"/>
        <v>　</v>
      </c>
      <c r="K72" t="str">
        <f t="shared" si="7"/>
        <v/>
      </c>
    </row>
    <row r="73" spans="1:11">
      <c r="A73" s="113"/>
      <c r="B73" s="284"/>
      <c r="C73" s="285"/>
      <c r="D73" s="4"/>
      <c r="E73" s="4"/>
      <c r="F73" s="2" t="str">
        <f t="shared" si="9"/>
        <v/>
      </c>
      <c r="G73" s="2" t="str">
        <f t="shared" si="10"/>
        <v xml:space="preserve"> </v>
      </c>
      <c r="H73" s="59" t="str">
        <f>IFERROR(INDEX('直管換算表（参考）'!$C$5:$I$29,MATCH(B73,'直管換算表（参考）'!$B$5:$B$29,0),MATCH(D73,'直管換算表（参考）'!$C$4:$I$4,0)),"")</f>
        <v/>
      </c>
      <c r="I73" s="123" t="str">
        <f t="shared" si="11"/>
        <v>　</v>
      </c>
      <c r="J73" t="str">
        <f t="shared" si="6"/>
        <v>　</v>
      </c>
      <c r="K73" t="str">
        <f t="shared" si="7"/>
        <v/>
      </c>
    </row>
    <row r="74" spans="1:11">
      <c r="A74" s="113"/>
      <c r="B74" s="284"/>
      <c r="C74" s="285"/>
      <c r="D74" s="4"/>
      <c r="E74" s="4"/>
      <c r="F74" s="2" t="str">
        <f t="shared" si="9"/>
        <v/>
      </c>
      <c r="G74" s="2" t="str">
        <f t="shared" si="10"/>
        <v xml:space="preserve"> </v>
      </c>
      <c r="H74" s="59" t="str">
        <f>IFERROR(INDEX('直管換算表（参考）'!$C$5:$I$29,MATCH(B74,'直管換算表（参考）'!$B$5:$B$29,0),MATCH(D74,'直管換算表（参考）'!$C$4:$I$4,0)),"")</f>
        <v/>
      </c>
      <c r="I74" s="123" t="str">
        <f t="shared" si="11"/>
        <v>　</v>
      </c>
      <c r="J74" t="str">
        <f t="shared" si="6"/>
        <v>　</v>
      </c>
      <c r="K74" t="str">
        <f t="shared" si="7"/>
        <v/>
      </c>
    </row>
    <row r="75" spans="1:11">
      <c r="A75" s="113"/>
      <c r="B75" s="274"/>
      <c r="C75" s="275"/>
      <c r="D75" s="4"/>
      <c r="E75" s="4"/>
      <c r="F75" s="26" t="str">
        <f t="shared" si="9"/>
        <v/>
      </c>
      <c r="G75" s="26" t="str">
        <f t="shared" si="10"/>
        <v xml:space="preserve"> </v>
      </c>
      <c r="H75" s="59" t="str">
        <f>IFERROR(INDEX('直管換算表（参考）'!$C$5:$I$29,MATCH(B75,'直管換算表（参考）'!$B$5:$B$29,0),MATCH(D75,'直管換算表（参考）'!$C$4:$I$4,0)),"")</f>
        <v/>
      </c>
      <c r="I75" s="123" t="str">
        <f t="shared" si="11"/>
        <v>　</v>
      </c>
      <c r="J75" t="str">
        <f t="shared" si="6"/>
        <v>　</v>
      </c>
      <c r="K75" t="str">
        <f t="shared" si="7"/>
        <v/>
      </c>
    </row>
    <row r="76" spans="1:11">
      <c r="A76" s="113"/>
      <c r="B76" s="274"/>
      <c r="C76" s="275"/>
      <c r="D76" s="4"/>
      <c r="E76" s="28"/>
      <c r="F76" s="2" t="str">
        <f t="shared" si="9"/>
        <v/>
      </c>
      <c r="G76" s="2" t="str">
        <f t="shared" si="10"/>
        <v xml:space="preserve"> </v>
      </c>
      <c r="H76" s="59" t="str">
        <f>IFERROR(INDEX('直管換算表（参考）'!$C$5:$I$29,MATCH(B76,'直管換算表（参考）'!$B$5:$B$29,0),MATCH(D76,'直管換算表（参考）'!$C$4:$I$4,0)),"")</f>
        <v/>
      </c>
      <c r="I76" s="123" t="str">
        <f t="shared" si="11"/>
        <v>　</v>
      </c>
      <c r="J76" t="str">
        <f t="shared" si="6"/>
        <v>　</v>
      </c>
      <c r="K76" t="str">
        <f t="shared" si="7"/>
        <v/>
      </c>
    </row>
    <row r="77" spans="1:11">
      <c r="A77" s="115"/>
      <c r="B77" s="246"/>
      <c r="C77" s="247"/>
      <c r="D77" s="29"/>
      <c r="E77" s="4"/>
      <c r="F77" s="2" t="str">
        <f t="shared" si="9"/>
        <v/>
      </c>
      <c r="G77" s="2" t="str">
        <f t="shared" si="10"/>
        <v xml:space="preserve"> </v>
      </c>
      <c r="H77" s="59" t="str">
        <f>IFERROR(INDEX('直管換算表（参考）'!$C$5:$I$29,MATCH(B77,'直管換算表（参考）'!$B$5:$B$29,0),MATCH(D77,'直管換算表（参考）'!$C$4:$I$4,0)),"")</f>
        <v/>
      </c>
      <c r="I77" s="123" t="str">
        <f t="shared" si="11"/>
        <v>　</v>
      </c>
      <c r="J77" t="str">
        <f t="shared" si="6"/>
        <v>　</v>
      </c>
      <c r="K77" t="str">
        <f t="shared" si="7"/>
        <v/>
      </c>
    </row>
    <row r="78" spans="1:11">
      <c r="A78" s="113"/>
      <c r="B78" s="246"/>
      <c r="C78" s="247"/>
      <c r="D78" s="42"/>
      <c r="E78" s="4"/>
      <c r="F78" s="2" t="str">
        <f t="shared" si="9"/>
        <v/>
      </c>
      <c r="G78" s="2" t="str">
        <f t="shared" si="10"/>
        <v xml:space="preserve"> </v>
      </c>
      <c r="H78" s="59" t="str">
        <f>IFERROR(INDEX('直管換算表（参考）'!$C$5:$I$29,MATCH(B78,'直管換算表（参考）'!$B$5:$B$29,0),MATCH(D78,'直管換算表（参考）'!$C$4:$I$4,0)),"")</f>
        <v/>
      </c>
      <c r="I78" s="123" t="str">
        <f t="shared" si="11"/>
        <v>　</v>
      </c>
      <c r="J78" t="str">
        <f t="shared" si="6"/>
        <v>　</v>
      </c>
      <c r="K78" t="str">
        <f t="shared" si="7"/>
        <v/>
      </c>
    </row>
    <row r="79" spans="1:11">
      <c r="A79" s="113"/>
      <c r="B79" s="246"/>
      <c r="C79" s="247"/>
      <c r="D79" s="42"/>
      <c r="E79" s="4"/>
      <c r="F79" s="2" t="str">
        <f t="shared" si="9"/>
        <v/>
      </c>
      <c r="G79" s="2" t="str">
        <f t="shared" si="10"/>
        <v xml:space="preserve"> </v>
      </c>
      <c r="H79" s="59" t="str">
        <f>IFERROR(INDEX('直管換算表（参考）'!$C$5:$I$29,MATCH(B79,'直管換算表（参考）'!$B$5:$B$29,0),MATCH(D79,'直管換算表（参考）'!$C$4:$I$4,0)),"")</f>
        <v/>
      </c>
      <c r="I79" s="123" t="str">
        <f t="shared" si="11"/>
        <v>　</v>
      </c>
      <c r="J79" t="str">
        <f t="shared" si="6"/>
        <v>　</v>
      </c>
      <c r="K79" t="str">
        <f t="shared" si="7"/>
        <v/>
      </c>
    </row>
    <row r="80" spans="1:11">
      <c r="A80" s="113"/>
      <c r="B80" s="246"/>
      <c r="C80" s="247"/>
      <c r="D80" s="42"/>
      <c r="E80" s="4"/>
      <c r="F80" s="2" t="str">
        <f t="shared" si="9"/>
        <v/>
      </c>
      <c r="G80" s="2" t="str">
        <f t="shared" si="10"/>
        <v xml:space="preserve"> </v>
      </c>
      <c r="H80" s="59" t="str">
        <f>IFERROR(INDEX('直管換算表（参考）'!$C$5:$I$29,MATCH(B80,'直管換算表（参考）'!$B$5:$B$29,0),MATCH(D80,'直管換算表（参考）'!$C$4:$I$4,0)),"")</f>
        <v/>
      </c>
      <c r="I80" s="123" t="str">
        <f t="shared" si="11"/>
        <v>　</v>
      </c>
      <c r="J80" t="str">
        <f t="shared" si="6"/>
        <v>　</v>
      </c>
      <c r="K80" t="str">
        <f t="shared" si="7"/>
        <v/>
      </c>
    </row>
    <row r="81" spans="1:11">
      <c r="A81" s="113"/>
      <c r="B81" s="246"/>
      <c r="C81" s="247"/>
      <c r="D81" s="42"/>
      <c r="E81" s="4"/>
      <c r="F81" s="2" t="str">
        <f t="shared" si="9"/>
        <v/>
      </c>
      <c r="G81" s="2" t="str">
        <f t="shared" si="10"/>
        <v xml:space="preserve"> </v>
      </c>
      <c r="H81" s="59" t="str">
        <f>IFERROR(INDEX('直管換算表（参考）'!$C$5:$I$29,MATCH(B81,'直管換算表（参考）'!$B$5:$B$29,0),MATCH(D81,'直管換算表（参考）'!$C$4:$I$4,0)),"")</f>
        <v/>
      </c>
      <c r="I81" s="123" t="str">
        <f t="shared" si="11"/>
        <v>　</v>
      </c>
      <c r="J81" t="str">
        <f t="shared" si="6"/>
        <v>　</v>
      </c>
      <c r="K81" t="str">
        <f t="shared" si="7"/>
        <v/>
      </c>
    </row>
    <row r="82" spans="1:11">
      <c r="A82" s="113"/>
      <c r="B82" s="246"/>
      <c r="C82" s="247"/>
      <c r="D82" s="42"/>
      <c r="E82" s="4"/>
      <c r="F82" s="2" t="str">
        <f t="shared" si="9"/>
        <v/>
      </c>
      <c r="G82" s="2" t="str">
        <f t="shared" si="10"/>
        <v xml:space="preserve"> </v>
      </c>
      <c r="H82" s="59" t="str">
        <f>IFERROR(INDEX('直管換算表（参考）'!$C$5:$I$29,MATCH(B82,'直管換算表（参考）'!$B$5:$B$29,0),MATCH(D82,'直管換算表（参考）'!$C$4:$I$4,0)),"")</f>
        <v/>
      </c>
      <c r="I82" s="123" t="str">
        <f t="shared" si="11"/>
        <v>　</v>
      </c>
      <c r="J82" t="str">
        <f t="shared" si="6"/>
        <v>　</v>
      </c>
      <c r="K82" t="str">
        <f t="shared" si="7"/>
        <v/>
      </c>
    </row>
    <row r="83" spans="1:11">
      <c r="A83" s="113"/>
      <c r="B83" s="246"/>
      <c r="C83" s="247"/>
      <c r="D83" s="42"/>
      <c r="E83" s="4"/>
      <c r="F83" s="2" t="str">
        <f t="shared" si="9"/>
        <v/>
      </c>
      <c r="G83" s="2" t="str">
        <f t="shared" si="10"/>
        <v xml:space="preserve"> </v>
      </c>
      <c r="H83" s="59" t="str">
        <f>IFERROR(INDEX('直管換算表（参考）'!$C$5:$I$29,MATCH(B83,'直管換算表（参考）'!$B$5:$B$29,0),MATCH(D83,'直管換算表（参考）'!$C$4:$I$4,0)),"")</f>
        <v/>
      </c>
      <c r="I83" s="123" t="str">
        <f t="shared" si="11"/>
        <v>　</v>
      </c>
      <c r="J83" t="str">
        <f t="shared" si="6"/>
        <v>　</v>
      </c>
      <c r="K83" t="str">
        <f t="shared" si="7"/>
        <v/>
      </c>
    </row>
    <row r="84" spans="1:11">
      <c r="A84" s="9"/>
      <c r="B84" s="246"/>
      <c r="C84" s="247"/>
      <c r="D84" s="42"/>
      <c r="E84" s="4"/>
      <c r="F84" s="2" t="str">
        <f t="shared" si="9"/>
        <v/>
      </c>
      <c r="G84" s="2" t="str">
        <f t="shared" si="10"/>
        <v xml:space="preserve"> </v>
      </c>
      <c r="H84" s="59" t="str">
        <f>IFERROR(INDEX('直管換算表（参考）'!$C$5:$I$29,MATCH(B84,'直管換算表（参考）'!$B$5:$B$29,0),MATCH(D84,'直管換算表（参考）'!$C$4:$I$4,0)),"")</f>
        <v/>
      </c>
      <c r="I84" s="123" t="str">
        <f t="shared" si="11"/>
        <v>　</v>
      </c>
      <c r="J84" t="str">
        <f t="shared" si="6"/>
        <v>　</v>
      </c>
      <c r="K84" t="str">
        <f t="shared" si="7"/>
        <v/>
      </c>
    </row>
    <row r="85" spans="1:11">
      <c r="A85" s="175"/>
      <c r="B85" s="30" t="s">
        <v>86</v>
      </c>
      <c r="C85" s="30"/>
      <c r="D85" s="41"/>
      <c r="E85" s="30"/>
      <c r="F85" s="30" t="str">
        <f t="shared" si="9"/>
        <v/>
      </c>
      <c r="G85" s="30"/>
      <c r="H85" s="242" t="str">
        <f>IFERROR(INDEX('直管換算表（参考）'!$C$5:$I$29,MATCH(B85,'直管換算表（参考）'!$B$5:$B$29,0),MATCH(D85,'直管換算表（参考）'!$C$4:$I$4,0)),"")</f>
        <v/>
      </c>
      <c r="I85" s="114" t="str">
        <f>IF(D85&gt;0,1,"")</f>
        <v/>
      </c>
    </row>
    <row r="86" spans="1:11">
      <c r="A86" s="67"/>
      <c r="B86" s="2" t="s">
        <v>76</v>
      </c>
      <c r="C86" s="2"/>
      <c r="D86" s="3"/>
      <c r="E86" s="2"/>
      <c r="F86" s="2"/>
      <c r="G86" s="39"/>
      <c r="H86" s="40"/>
      <c r="I86" s="134"/>
      <c r="J86" s="18" t="str">
        <f>IF(I86&gt;10,"エラー　制限高超え","")</f>
        <v/>
      </c>
    </row>
    <row r="87" spans="1:11">
      <c r="A87" s="67"/>
      <c r="B87" s="14" t="s">
        <v>186</v>
      </c>
      <c r="C87" s="16"/>
      <c r="D87" s="15"/>
      <c r="E87" s="16"/>
      <c r="F87" s="16"/>
      <c r="G87" s="16"/>
      <c r="H87" s="17"/>
      <c r="I87" s="134"/>
      <c r="J87" s="8"/>
      <c r="K87" s="8"/>
    </row>
    <row r="88" spans="1:11" ht="14.25" thickBot="1">
      <c r="A88" s="72"/>
      <c r="B88" s="135" t="s">
        <v>125</v>
      </c>
      <c r="C88" s="136"/>
      <c r="D88" s="136"/>
      <c r="E88" s="136"/>
      <c r="F88" s="136"/>
      <c r="G88" s="136"/>
      <c r="H88" s="137"/>
      <c r="I88" s="116" t="str">
        <f>IF(SUM(I64:I87),SUM(I64:I87)," ")</f>
        <v xml:space="preserve"> </v>
      </c>
    </row>
    <row r="90" spans="1:11">
      <c r="A90" s="63" t="s">
        <v>203</v>
      </c>
    </row>
    <row r="91" spans="1:11">
      <c r="A91" t="s">
        <v>67</v>
      </c>
      <c r="C91" s="59" t="str">
        <f>I59</f>
        <v xml:space="preserve"> </v>
      </c>
      <c r="D91" s="8" t="s">
        <v>174</v>
      </c>
    </row>
    <row r="92" spans="1:11">
      <c r="A92" t="s">
        <v>68</v>
      </c>
      <c r="C92" s="59" t="str">
        <f>I88</f>
        <v xml:space="preserve"> </v>
      </c>
      <c r="D92" s="8" t="s">
        <v>174</v>
      </c>
    </row>
    <row r="93" spans="1:11">
      <c r="A93" t="s">
        <v>69</v>
      </c>
      <c r="C93" s="59" t="str">
        <f>IFERROR(C91+C92,"")</f>
        <v/>
      </c>
      <c r="D93" t="s">
        <v>72</v>
      </c>
    </row>
    <row r="94" spans="1:11">
      <c r="A94" t="s">
        <v>73</v>
      </c>
      <c r="C94" s="59" t="str">
        <f>IFERROR(ROUND(C93*0.0098,3),"")</f>
        <v/>
      </c>
      <c r="D94" t="s">
        <v>74</v>
      </c>
      <c r="J94" s="8"/>
    </row>
    <row r="95" spans="1:11">
      <c r="C95" s="15"/>
      <c r="D95" s="8"/>
      <c r="J95" s="8"/>
    </row>
    <row r="96" spans="1:11" ht="20.100000000000001" customHeight="1">
      <c r="A96" s="282" t="s">
        <v>70</v>
      </c>
      <c r="B96" s="283"/>
      <c r="C96" s="168" t="str">
        <f>IF(C94="","",IF(B33&gt;C94,"ＯＫ","ＮＧ"))</f>
        <v/>
      </c>
      <c r="D96" s="169" t="s">
        <v>71</v>
      </c>
      <c r="E96" s="173" t="str">
        <f>IF(C96="","",IF(C96="ＯＫ","設定の管径とする","圧力損失が大きく、使用状況により水の出が悪い又は出ない場合があります。再設計してください。"))</f>
        <v/>
      </c>
      <c r="F96" s="61"/>
      <c r="G96" s="61"/>
      <c r="H96" s="61"/>
      <c r="I96" s="54"/>
    </row>
    <row r="97" spans="1:10" ht="20.100000000000001" customHeight="1">
      <c r="A97" s="63"/>
      <c r="B97" s="170" t="s">
        <v>78</v>
      </c>
      <c r="C97" s="171">
        <f>MAX(F48:F84)</f>
        <v>0</v>
      </c>
      <c r="D97" s="169" t="s">
        <v>173</v>
      </c>
      <c r="E97" s="172" t="str">
        <f>IF(C97=0,"",IF(C97&gt;2,"ウォータハンマが発生する可能性があります。","問題なし"))</f>
        <v/>
      </c>
      <c r="F97" s="46"/>
      <c r="G97" s="46"/>
      <c r="H97" s="46"/>
      <c r="I97" s="46"/>
    </row>
    <row r="101" spans="1:10">
      <c r="J101" s="45"/>
    </row>
    <row r="102" spans="1:10">
      <c r="J102" s="45"/>
    </row>
    <row r="104" spans="1:10">
      <c r="J104" s="46"/>
    </row>
  </sheetData>
  <sheetProtection formatCells="0" selectLockedCells="1" selectUnlockedCells="1"/>
  <mergeCells count="53">
    <mergeCell ref="G31:G32"/>
    <mergeCell ref="H31:H32"/>
    <mergeCell ref="D32:E32"/>
    <mergeCell ref="F31:F32"/>
    <mergeCell ref="A62:A63"/>
    <mergeCell ref="A96:B96"/>
    <mergeCell ref="B66:C66"/>
    <mergeCell ref="B67:C67"/>
    <mergeCell ref="B68:C68"/>
    <mergeCell ref="B69:C69"/>
    <mergeCell ref="B70:C70"/>
    <mergeCell ref="B71:C71"/>
    <mergeCell ref="B72:C72"/>
    <mergeCell ref="B73:C73"/>
    <mergeCell ref="B74:C74"/>
    <mergeCell ref="B75:C75"/>
    <mergeCell ref="F8:F9"/>
    <mergeCell ref="E2:F2"/>
    <mergeCell ref="G2:I2"/>
    <mergeCell ref="E3:F3"/>
    <mergeCell ref="G3:I3"/>
    <mergeCell ref="A8:A9"/>
    <mergeCell ref="D38:E38"/>
    <mergeCell ref="B84:C84"/>
    <mergeCell ref="B76:C76"/>
    <mergeCell ref="B77:C77"/>
    <mergeCell ref="B78:C78"/>
    <mergeCell ref="B79:C79"/>
    <mergeCell ref="B80:C80"/>
    <mergeCell ref="D43:E43"/>
    <mergeCell ref="D37:G37"/>
    <mergeCell ref="B51:C51"/>
    <mergeCell ref="B52:C52"/>
    <mergeCell ref="B53:C53"/>
    <mergeCell ref="B54:C54"/>
    <mergeCell ref="B55:C55"/>
    <mergeCell ref="B56:C56"/>
    <mergeCell ref="J46:J47"/>
    <mergeCell ref="K46:K47"/>
    <mergeCell ref="B81:C81"/>
    <mergeCell ref="B82:C82"/>
    <mergeCell ref="B83:C83"/>
    <mergeCell ref="A59:H59"/>
    <mergeCell ref="B62:C63"/>
    <mergeCell ref="B64:C64"/>
    <mergeCell ref="B65:C65"/>
    <mergeCell ref="B57:C57"/>
    <mergeCell ref="B58:C58"/>
    <mergeCell ref="A46:A47"/>
    <mergeCell ref="B46:C47"/>
    <mergeCell ref="B48:C48"/>
    <mergeCell ref="B49:C49"/>
    <mergeCell ref="B50:C50"/>
  </mergeCells>
  <phoneticPr fontId="1"/>
  <conditionalFormatting sqref="G10:G25">
    <cfRule type="colorScale" priority="1">
      <colorScale>
        <cfvo type="min"/>
        <cfvo type="max"/>
        <color theme="4" tint="0.59999389629810485"/>
        <color theme="4" tint="0.59999389629810485"/>
      </colorScale>
    </cfRule>
    <cfRule type="colorScale" priority="2">
      <colorScale>
        <cfvo type="min"/>
        <cfvo type="max"/>
        <color theme="3" tint="0.59999389629810485"/>
        <color theme="3" tint="0.59999389629810485"/>
      </colorScale>
    </cfRule>
    <cfRule type="expression" dxfId="4" priority="3">
      <formula>$C10&gt;0</formula>
    </cfRule>
  </conditionalFormatting>
  <dataValidations count="1">
    <dataValidation type="list" allowBlank="1" showInputMessage="1" showErrorMessage="1" sqref="A64:A84">
      <formula1>$A$48:$A$58</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&amp;R&amp;"-,斜体"&amp;8①各戸使用水量と戸数の同時使用率から同時使用水量を算定</oddHeader>
  </headerFooter>
  <rowBreaks count="1" manualBreakCount="1">
    <brk id="60" max="8"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表!$E$5:$E$12</xm:f>
          </x14:formula1>
          <xm:sqref>D48:D58</xm:sqref>
        </x14:dataValidation>
        <x14:dataValidation type="list" allowBlank="1" showInputMessage="1" showErrorMessage="1">
          <x14:formula1>
            <xm:f>'直管換算表（参考）'!$B$5:$B$29</xm:f>
          </x14:formula1>
          <xm:sqref>B64:B84 C78:C84 C64:C69</xm:sqref>
        </x14:dataValidation>
        <x14:dataValidation type="list" allowBlank="1" showInputMessage="1" showErrorMessage="1">
          <x14:formula1>
            <xm:f>表!$F$5:$F$11</xm:f>
          </x14:formula1>
          <xm:sqref>D64:D85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K102"/>
  <sheetViews>
    <sheetView showZeros="0" view="pageBreakPreview" topLeftCell="A13" zoomScaleNormal="100" zoomScaleSheetLayoutView="100" workbookViewId="0">
      <selection activeCell="I41" sqref="I41"/>
    </sheetView>
  </sheetViews>
  <sheetFormatPr defaultRowHeight="13.5"/>
  <cols>
    <col min="1" max="1" width="15.875" customWidth="1"/>
    <col min="2" max="5" width="8.625" customWidth="1"/>
    <col min="6" max="6" width="15.875" customWidth="1"/>
    <col min="7" max="9" width="8.625" customWidth="1"/>
    <col min="10" max="11" width="9" hidden="1" customWidth="1"/>
  </cols>
  <sheetData>
    <row r="1" spans="1:10" ht="20.25" customHeight="1">
      <c r="A1" t="s">
        <v>129</v>
      </c>
    </row>
    <row r="2" spans="1:10" ht="18" customHeight="1" thickBot="1">
      <c r="A2" s="1" t="s">
        <v>131</v>
      </c>
      <c r="E2" s="277" t="s">
        <v>127</v>
      </c>
      <c r="F2" s="277"/>
      <c r="G2" s="292">
        <f>'①設計シート（同時使用率1・２F）'!G2:I2</f>
        <v>0</v>
      </c>
      <c r="H2" s="292"/>
      <c r="I2" s="292"/>
      <c r="J2" s="5"/>
    </row>
    <row r="3" spans="1:10" ht="18.75" customHeight="1" thickBot="1">
      <c r="A3" s="1" t="s">
        <v>130</v>
      </c>
      <c r="E3" s="279" t="s">
        <v>128</v>
      </c>
      <c r="F3" s="280"/>
      <c r="G3" s="293">
        <f>'①設計シート（同時使用率1・２F）'!G3:I3</f>
        <v>0</v>
      </c>
      <c r="H3" s="293"/>
      <c r="I3" s="293"/>
      <c r="J3" s="5"/>
    </row>
    <row r="5" spans="1:10">
      <c r="A5" s="196" t="s">
        <v>246</v>
      </c>
    </row>
    <row r="6" spans="1:10" ht="14.25">
      <c r="A6" s="127" t="s">
        <v>179</v>
      </c>
      <c r="B6" s="190" t="s">
        <v>227</v>
      </c>
      <c r="D6" s="48"/>
      <c r="F6" s="127" t="s">
        <v>180</v>
      </c>
      <c r="H6" s="192" t="s">
        <v>231</v>
      </c>
    </row>
    <row r="7" spans="1:10" ht="14.25" thickBot="1">
      <c r="D7" s="48"/>
      <c r="F7" s="139" t="s">
        <v>163</v>
      </c>
      <c r="G7" s="161" t="str">
        <f>IFERROR(VLOOKUP(B26,表!B4:C33,2,FALSE),"")</f>
        <v/>
      </c>
      <c r="H7" s="140" t="s">
        <v>167</v>
      </c>
    </row>
    <row r="8" spans="1:10">
      <c r="A8" s="270" t="s">
        <v>0</v>
      </c>
      <c r="B8" s="74" t="s">
        <v>15</v>
      </c>
      <c r="C8" s="65" t="s">
        <v>1</v>
      </c>
      <c r="D8" s="66" t="s">
        <v>17</v>
      </c>
      <c r="F8" s="270" t="s">
        <v>0</v>
      </c>
      <c r="G8" s="78" t="s">
        <v>15</v>
      </c>
      <c r="H8" s="65" t="s">
        <v>1</v>
      </c>
      <c r="I8" s="66" t="s">
        <v>17</v>
      </c>
      <c r="J8" s="55"/>
    </row>
    <row r="9" spans="1:10" ht="14.25" thickBot="1">
      <c r="A9" s="271"/>
      <c r="B9" s="82" t="s">
        <v>79</v>
      </c>
      <c r="C9" s="83" t="s">
        <v>80</v>
      </c>
      <c r="D9" s="84" t="s">
        <v>80</v>
      </c>
      <c r="F9" s="271"/>
      <c r="G9" s="87" t="s">
        <v>79</v>
      </c>
      <c r="H9" s="83" t="s">
        <v>80</v>
      </c>
      <c r="I9" s="84" t="s">
        <v>80</v>
      </c>
      <c r="J9" s="55"/>
    </row>
    <row r="10" spans="1:10">
      <c r="A10" s="162" t="s">
        <v>2</v>
      </c>
      <c r="B10" s="209">
        <f>'①設計シート（同時使用率1・２F）'!B10</f>
        <v>0</v>
      </c>
      <c r="C10" s="210">
        <f>'①設計シート（同時使用率1・２F）'!C10</f>
        <v>0</v>
      </c>
      <c r="D10" s="211">
        <f t="shared" ref="D10:D25" si="0">B10*C10</f>
        <v>0</v>
      </c>
      <c r="E10" s="144">
        <f t="shared" ref="E10:E25" si="1">IF(AND(B10=0,C10=0),0,IF(B10*C10=0,"←入力不備",""))</f>
        <v>0</v>
      </c>
      <c r="F10" s="162" t="s">
        <v>2</v>
      </c>
      <c r="G10" s="208">
        <f>'①設計シート（同時使用率1・２F）'!G10</f>
        <v>0</v>
      </c>
      <c r="H10" s="86" t="str">
        <f t="shared" ref="H10:H25" si="2">IF(C10=0,"",C10)</f>
        <v/>
      </c>
      <c r="I10" s="81" t="str">
        <f t="shared" ref="I10:I25" si="3">IFERROR(G10*H10,"")</f>
        <v/>
      </c>
      <c r="J10" s="10"/>
    </row>
    <row r="11" spans="1:10">
      <c r="A11" s="163" t="s">
        <v>3</v>
      </c>
      <c r="B11" s="212">
        <f>'①設計シート（同時使用率1・２F）'!B11</f>
        <v>0</v>
      </c>
      <c r="C11" s="208">
        <f>'①設計シート（同時使用率1・２F）'!C11</f>
        <v>0</v>
      </c>
      <c r="D11" s="68">
        <f t="shared" si="0"/>
        <v>0</v>
      </c>
      <c r="E11" s="144">
        <f t="shared" si="1"/>
        <v>0</v>
      </c>
      <c r="F11" s="163" t="s">
        <v>3</v>
      </c>
      <c r="G11" s="208">
        <f>'①設計シート（同時使用率1・２F）'!G11</f>
        <v>0</v>
      </c>
      <c r="H11" s="13" t="str">
        <f t="shared" si="2"/>
        <v/>
      </c>
      <c r="I11" s="68" t="str">
        <f t="shared" si="3"/>
        <v/>
      </c>
      <c r="J11" s="10"/>
    </row>
    <row r="12" spans="1:10">
      <c r="A12" s="163" t="s">
        <v>18</v>
      </c>
      <c r="B12" s="212">
        <f>'①設計シート（同時使用率1・２F）'!B12</f>
        <v>0</v>
      </c>
      <c r="C12" s="208">
        <f>'①設計シート（同時使用率1・２F）'!C12</f>
        <v>0</v>
      </c>
      <c r="D12" s="68">
        <f t="shared" si="0"/>
        <v>0</v>
      </c>
      <c r="E12" s="144">
        <f t="shared" si="1"/>
        <v>0</v>
      </c>
      <c r="F12" s="163" t="s">
        <v>18</v>
      </c>
      <c r="G12" s="208">
        <f>'①設計シート（同時使用率1・２F）'!G12</f>
        <v>0</v>
      </c>
      <c r="H12" s="13" t="str">
        <f t="shared" si="2"/>
        <v/>
      </c>
      <c r="I12" s="68" t="str">
        <f t="shared" si="3"/>
        <v/>
      </c>
      <c r="J12" s="10"/>
    </row>
    <row r="13" spans="1:10">
      <c r="A13" s="163" t="s">
        <v>4</v>
      </c>
      <c r="B13" s="212">
        <f>'①設計シート（同時使用率1・２F）'!B13</f>
        <v>0</v>
      </c>
      <c r="C13" s="208">
        <f>'①設計シート（同時使用率1・２F）'!C13</f>
        <v>0</v>
      </c>
      <c r="D13" s="68">
        <f t="shared" si="0"/>
        <v>0</v>
      </c>
      <c r="E13" s="144">
        <f t="shared" si="1"/>
        <v>0</v>
      </c>
      <c r="F13" s="163" t="s">
        <v>4</v>
      </c>
      <c r="G13" s="208">
        <f>'①設計シート（同時使用率1・２F）'!G13</f>
        <v>0</v>
      </c>
      <c r="H13" s="13" t="str">
        <f t="shared" si="2"/>
        <v/>
      </c>
      <c r="I13" s="68" t="str">
        <f t="shared" si="3"/>
        <v/>
      </c>
      <c r="J13" s="10"/>
    </row>
    <row r="14" spans="1:10">
      <c r="A14" s="163" t="s">
        <v>5</v>
      </c>
      <c r="B14" s="212">
        <f>'①設計シート（同時使用率1・２F）'!B14</f>
        <v>0</v>
      </c>
      <c r="C14" s="208">
        <f>'①設計シート（同時使用率1・２F）'!C14</f>
        <v>0</v>
      </c>
      <c r="D14" s="68">
        <f t="shared" si="0"/>
        <v>0</v>
      </c>
      <c r="E14" s="144">
        <f t="shared" si="1"/>
        <v>0</v>
      </c>
      <c r="F14" s="163" t="s">
        <v>5</v>
      </c>
      <c r="G14" s="208">
        <f>'①設計シート（同時使用率1・２F）'!G14</f>
        <v>0</v>
      </c>
      <c r="H14" s="13" t="str">
        <f t="shared" si="2"/>
        <v/>
      </c>
      <c r="I14" s="68" t="str">
        <f t="shared" si="3"/>
        <v/>
      </c>
      <c r="J14" s="10"/>
    </row>
    <row r="15" spans="1:10">
      <c r="A15" s="163" t="s">
        <v>6</v>
      </c>
      <c r="B15" s="212">
        <f>'①設計シート（同時使用率1・２F）'!B15</f>
        <v>0</v>
      </c>
      <c r="C15" s="208">
        <f>'①設計シート（同時使用率1・２F）'!C15</f>
        <v>0</v>
      </c>
      <c r="D15" s="68">
        <f t="shared" si="0"/>
        <v>0</v>
      </c>
      <c r="E15" s="144">
        <f t="shared" si="1"/>
        <v>0</v>
      </c>
      <c r="F15" s="163" t="s">
        <v>6</v>
      </c>
      <c r="G15" s="208">
        <f>'①設計シート（同時使用率1・２F）'!G15</f>
        <v>0</v>
      </c>
      <c r="H15" s="13" t="str">
        <f t="shared" si="2"/>
        <v/>
      </c>
      <c r="I15" s="68" t="str">
        <f t="shared" si="3"/>
        <v/>
      </c>
      <c r="J15" s="10"/>
    </row>
    <row r="16" spans="1:10">
      <c r="A16" s="163" t="s">
        <v>7</v>
      </c>
      <c r="B16" s="212">
        <f>'①設計シート（同時使用率1・２F）'!B16</f>
        <v>0</v>
      </c>
      <c r="C16" s="208">
        <f>'①設計シート（同時使用率1・２F）'!C16</f>
        <v>0</v>
      </c>
      <c r="D16" s="68">
        <f t="shared" si="0"/>
        <v>0</v>
      </c>
      <c r="E16" s="144">
        <f t="shared" si="1"/>
        <v>0</v>
      </c>
      <c r="F16" s="163" t="s">
        <v>7</v>
      </c>
      <c r="G16" s="208">
        <f>'①設計シート（同時使用率1・２F）'!G16</f>
        <v>0</v>
      </c>
      <c r="H16" s="13" t="str">
        <f t="shared" si="2"/>
        <v/>
      </c>
      <c r="I16" s="68" t="str">
        <f t="shared" si="3"/>
        <v/>
      </c>
      <c r="J16" s="10"/>
    </row>
    <row r="17" spans="1:11">
      <c r="A17" s="163" t="s">
        <v>8</v>
      </c>
      <c r="B17" s="212">
        <f>'①設計シート（同時使用率1・２F）'!B17</f>
        <v>0</v>
      </c>
      <c r="C17" s="208">
        <f>'①設計シート（同時使用率1・２F）'!C17</f>
        <v>0</v>
      </c>
      <c r="D17" s="68">
        <f t="shared" si="0"/>
        <v>0</v>
      </c>
      <c r="E17" s="144">
        <f t="shared" si="1"/>
        <v>0</v>
      </c>
      <c r="F17" s="163" t="s">
        <v>8</v>
      </c>
      <c r="G17" s="208">
        <f>'①設計シート（同時使用率1・２F）'!G17</f>
        <v>0</v>
      </c>
      <c r="H17" s="13" t="str">
        <f t="shared" si="2"/>
        <v/>
      </c>
      <c r="I17" s="68" t="str">
        <f t="shared" si="3"/>
        <v/>
      </c>
      <c r="J17" s="10"/>
    </row>
    <row r="18" spans="1:11">
      <c r="A18" s="163" t="s">
        <v>9</v>
      </c>
      <c r="B18" s="212">
        <f>'①設計シート（同時使用率1・２F）'!B18</f>
        <v>0</v>
      </c>
      <c r="C18" s="208">
        <f>'①設計シート（同時使用率1・２F）'!C18</f>
        <v>0</v>
      </c>
      <c r="D18" s="68">
        <f t="shared" si="0"/>
        <v>0</v>
      </c>
      <c r="E18" s="144">
        <f t="shared" si="1"/>
        <v>0</v>
      </c>
      <c r="F18" s="163" t="s">
        <v>9</v>
      </c>
      <c r="G18" s="208">
        <f>'①設計シート（同時使用率1・２F）'!G18</f>
        <v>0</v>
      </c>
      <c r="H18" s="13" t="str">
        <f t="shared" si="2"/>
        <v/>
      </c>
      <c r="I18" s="68" t="str">
        <f t="shared" si="3"/>
        <v/>
      </c>
      <c r="J18" s="10"/>
    </row>
    <row r="19" spans="1:11">
      <c r="A19" s="163" t="s">
        <v>10</v>
      </c>
      <c r="B19" s="212">
        <f>'①設計シート（同時使用率1・２F）'!B19</f>
        <v>0</v>
      </c>
      <c r="C19" s="208">
        <f>'①設計シート（同時使用率1・２F）'!C19</f>
        <v>0</v>
      </c>
      <c r="D19" s="68">
        <f t="shared" si="0"/>
        <v>0</v>
      </c>
      <c r="E19" s="144">
        <f t="shared" si="1"/>
        <v>0</v>
      </c>
      <c r="F19" s="163" t="s">
        <v>10</v>
      </c>
      <c r="G19" s="208">
        <f>'①設計シート（同時使用率1・２F）'!G19</f>
        <v>0</v>
      </c>
      <c r="H19" s="13" t="str">
        <f t="shared" si="2"/>
        <v/>
      </c>
      <c r="I19" s="68" t="str">
        <f t="shared" si="3"/>
        <v/>
      </c>
      <c r="J19" s="10"/>
    </row>
    <row r="20" spans="1:11">
      <c r="A20" s="163" t="s">
        <v>11</v>
      </c>
      <c r="B20" s="212">
        <f>'①設計シート（同時使用率1・２F）'!B20</f>
        <v>0</v>
      </c>
      <c r="C20" s="208">
        <f>'①設計シート（同時使用率1・２F）'!C20</f>
        <v>0</v>
      </c>
      <c r="D20" s="68">
        <f t="shared" si="0"/>
        <v>0</v>
      </c>
      <c r="E20" s="144">
        <f t="shared" si="1"/>
        <v>0</v>
      </c>
      <c r="F20" s="163" t="s">
        <v>11</v>
      </c>
      <c r="G20" s="208">
        <f>'①設計シート（同時使用率1・２F）'!G20</f>
        <v>0</v>
      </c>
      <c r="H20" s="13" t="str">
        <f t="shared" si="2"/>
        <v/>
      </c>
      <c r="I20" s="68" t="str">
        <f t="shared" si="3"/>
        <v/>
      </c>
      <c r="J20" s="10"/>
    </row>
    <row r="21" spans="1:11">
      <c r="A21" s="163" t="s">
        <v>12</v>
      </c>
      <c r="B21" s="212">
        <f>'①設計シート（同時使用率1・２F）'!B21</f>
        <v>0</v>
      </c>
      <c r="C21" s="208">
        <f>'①設計シート（同時使用率1・２F）'!C21</f>
        <v>0</v>
      </c>
      <c r="D21" s="68">
        <f t="shared" si="0"/>
        <v>0</v>
      </c>
      <c r="E21" s="144">
        <f t="shared" si="1"/>
        <v>0</v>
      </c>
      <c r="F21" s="163" t="s">
        <v>12</v>
      </c>
      <c r="G21" s="208">
        <f>'①設計シート（同時使用率1・２F）'!G21</f>
        <v>0</v>
      </c>
      <c r="H21" s="13" t="str">
        <f t="shared" si="2"/>
        <v/>
      </c>
      <c r="I21" s="68" t="str">
        <f t="shared" si="3"/>
        <v/>
      </c>
      <c r="J21" s="10"/>
    </row>
    <row r="22" spans="1:11">
      <c r="A22" s="163" t="s">
        <v>13</v>
      </c>
      <c r="B22" s="212">
        <f>'①設計シート（同時使用率1・２F）'!B22</f>
        <v>0</v>
      </c>
      <c r="C22" s="208">
        <f>'①設計シート（同時使用率1・２F）'!C22</f>
        <v>0</v>
      </c>
      <c r="D22" s="68">
        <f t="shared" si="0"/>
        <v>0</v>
      </c>
      <c r="E22" s="144">
        <f t="shared" si="1"/>
        <v>0</v>
      </c>
      <c r="F22" s="163" t="s">
        <v>13</v>
      </c>
      <c r="G22" s="208">
        <f>'①設計シート（同時使用率1・２F）'!G22</f>
        <v>0</v>
      </c>
      <c r="H22" s="13" t="str">
        <f t="shared" si="2"/>
        <v/>
      </c>
      <c r="I22" s="68" t="str">
        <f t="shared" si="3"/>
        <v/>
      </c>
      <c r="J22" s="10"/>
    </row>
    <row r="23" spans="1:11">
      <c r="A23" s="163" t="s">
        <v>14</v>
      </c>
      <c r="B23" s="212">
        <f>'①設計シート（同時使用率1・２F）'!B23</f>
        <v>0</v>
      </c>
      <c r="C23" s="208">
        <f>'①設計シート（同時使用率1・２F）'!C23</f>
        <v>0</v>
      </c>
      <c r="D23" s="68">
        <f t="shared" si="0"/>
        <v>0</v>
      </c>
      <c r="E23" s="144">
        <f t="shared" si="1"/>
        <v>0</v>
      </c>
      <c r="F23" s="163" t="s">
        <v>14</v>
      </c>
      <c r="G23" s="208">
        <f>'①設計シート（同時使用率1・２F）'!G23</f>
        <v>0</v>
      </c>
      <c r="H23" s="13" t="str">
        <f t="shared" si="2"/>
        <v/>
      </c>
      <c r="I23" s="68" t="str">
        <f t="shared" si="3"/>
        <v/>
      </c>
      <c r="J23" s="10"/>
    </row>
    <row r="24" spans="1:11">
      <c r="A24" s="163"/>
      <c r="B24" s="212">
        <f>'①設計シート（同時使用率1・２F）'!B24</f>
        <v>0</v>
      </c>
      <c r="C24" s="208">
        <f>'①設計シート（同時使用率1・２F）'!C24</f>
        <v>0</v>
      </c>
      <c r="D24" s="68">
        <f t="shared" si="0"/>
        <v>0</v>
      </c>
      <c r="E24" s="144">
        <f t="shared" si="1"/>
        <v>0</v>
      </c>
      <c r="F24" s="163"/>
      <c r="G24" s="208">
        <f>'①設計シート（同時使用率1・２F）'!G24</f>
        <v>0</v>
      </c>
      <c r="H24" s="13" t="str">
        <f t="shared" si="2"/>
        <v/>
      </c>
      <c r="I24" s="68" t="str">
        <f t="shared" si="3"/>
        <v/>
      </c>
      <c r="J24" s="10"/>
    </row>
    <row r="25" spans="1:11" ht="14.25" thickBot="1">
      <c r="A25" s="164"/>
      <c r="B25" s="213">
        <f>'①設計シート（同時使用率1・２F）'!B25</f>
        <v>0</v>
      </c>
      <c r="C25" s="159">
        <f>'①設計シート（同時使用率1・２F）'!C25</f>
        <v>0</v>
      </c>
      <c r="D25" s="70">
        <f t="shared" si="0"/>
        <v>0</v>
      </c>
      <c r="E25" s="144">
        <f t="shared" si="1"/>
        <v>0</v>
      </c>
      <c r="F25" s="165"/>
      <c r="G25" s="208">
        <f>'①設計シート（同時使用率1・２F）'!G25</f>
        <v>0</v>
      </c>
      <c r="H25" s="89" t="str">
        <f t="shared" si="2"/>
        <v/>
      </c>
      <c r="I25" s="90" t="str">
        <f t="shared" si="3"/>
        <v/>
      </c>
      <c r="J25" s="10"/>
    </row>
    <row r="26" spans="1:11" ht="14.25" thickBot="1">
      <c r="A26" s="77" t="s">
        <v>16</v>
      </c>
      <c r="B26" s="159" t="str">
        <f>IF(SUM(B10:B25),SUM(B10:B25)," ")</f>
        <v xml:space="preserve"> </v>
      </c>
      <c r="C26" s="71"/>
      <c r="D26" s="157" t="str">
        <f>IF(SUM(D10:D25),SUM(D10:D25)," ")</f>
        <v xml:space="preserve"> </v>
      </c>
      <c r="E26" s="18"/>
      <c r="F26" s="91" t="s">
        <v>27</v>
      </c>
      <c r="G26" s="92" t="str">
        <f>IF(SUM(G10:G25),SUM(G10:G25),"")</f>
        <v/>
      </c>
      <c r="H26" s="93" t="s">
        <v>132</v>
      </c>
      <c r="I26" s="238" t="str">
        <f>IF(SUM(I10:I25),SUM(I10:I25)," ")</f>
        <v xml:space="preserve"> </v>
      </c>
      <c r="J26" s="10"/>
    </row>
    <row r="27" spans="1:11">
      <c r="A27" s="8"/>
      <c r="C27" s="8"/>
      <c r="F27" s="47" t="str">
        <f>IF(G26="","",IF(G26&gt;G7,"同時使用水栓数が多すぎます。同時使用水栓数目標値："&amp;G7,IF(G26&lt;G7,"同時使用水栓数が足りていません。同時使用水栓数目標値："&amp;G7,"")))</f>
        <v/>
      </c>
      <c r="G27" s="44"/>
      <c r="H27" s="44"/>
      <c r="I27" s="44"/>
      <c r="J27" s="44"/>
    </row>
    <row r="28" spans="1:11" ht="15" thickBot="1">
      <c r="A28" s="128" t="s">
        <v>209</v>
      </c>
      <c r="C28" s="8"/>
      <c r="F28" s="47"/>
      <c r="G28" s="44"/>
      <c r="H28" s="44"/>
      <c r="I28" s="44"/>
      <c r="J28" s="44"/>
    </row>
    <row r="29" spans="1:11">
      <c r="A29" s="95" t="s">
        <v>133</v>
      </c>
      <c r="B29" s="214">
        <f>'①設計シート（同時使用率1・２F）'!B29</f>
        <v>0</v>
      </c>
      <c r="C29" s="97" t="s">
        <v>134</v>
      </c>
      <c r="D29" s="52"/>
      <c r="E29" s="52"/>
      <c r="F29" s="52"/>
      <c r="G29" s="52"/>
      <c r="J29" t="s">
        <v>204</v>
      </c>
      <c r="K29" t="s">
        <v>207</v>
      </c>
    </row>
    <row r="30" spans="1:11">
      <c r="A30" s="220" t="s">
        <v>158</v>
      </c>
      <c r="B30" s="233">
        <f>ROUND(IF(B29&lt;10,J30,K30),1)</f>
        <v>0</v>
      </c>
      <c r="C30" s="221" t="s">
        <v>156</v>
      </c>
      <c r="D30" s="199" t="s">
        <v>229</v>
      </c>
      <c r="E30" s="52"/>
      <c r="F30" s="295" t="s">
        <v>264</v>
      </c>
      <c r="G30" s="297" t="str">
        <f>IFERROR(B30/B29,"")</f>
        <v/>
      </c>
      <c r="H30" s="288" t="s">
        <v>263</v>
      </c>
      <c r="J30">
        <f>IF(B29="","",42*B29^0.33)</f>
        <v>0</v>
      </c>
      <c r="K30">
        <f>IF(B29="","",19*B29^0.67)</f>
        <v>0</v>
      </c>
    </row>
    <row r="31" spans="1:11" ht="14.25" thickBot="1">
      <c r="A31" s="100" t="s">
        <v>164</v>
      </c>
      <c r="B31" s="215">
        <f>'①設計シート（同時使用率1・２F）'!B33</f>
        <v>0</v>
      </c>
      <c r="C31" s="102" t="s">
        <v>28</v>
      </c>
      <c r="D31" s="294" t="s">
        <v>262</v>
      </c>
      <c r="E31" s="273"/>
      <c r="F31" s="296"/>
      <c r="G31" s="298"/>
      <c r="H31" s="289"/>
    </row>
    <row r="33" spans="1:11" ht="15" thickBot="1">
      <c r="A33" s="129" t="s">
        <v>181</v>
      </c>
    </row>
    <row r="34" spans="1:11">
      <c r="A34" s="103" t="s">
        <v>29</v>
      </c>
      <c r="B34" s="104" t="str">
        <f>IFERROR(I26/1000/60,"")</f>
        <v/>
      </c>
      <c r="C34" s="111" t="s">
        <v>178</v>
      </c>
    </row>
    <row r="35" spans="1:11">
      <c r="A35" s="67" t="s">
        <v>30</v>
      </c>
      <c r="B35" s="59">
        <v>2</v>
      </c>
      <c r="C35" s="155" t="s">
        <v>177</v>
      </c>
      <c r="D35" s="276" t="str">
        <f>IF(B35&gt;2,"設定値が上限を超えています。（2.0以下とする)","")</f>
        <v/>
      </c>
      <c r="E35" s="276"/>
      <c r="F35" s="276"/>
      <c r="G35" s="276"/>
    </row>
    <row r="36" spans="1:11" ht="14.25" thickBot="1">
      <c r="A36" s="106" t="s">
        <v>166</v>
      </c>
      <c r="B36" s="107" t="str">
        <f>IFERROR(ROUND((SQRT(4*B34/(PI()*B35))*1000),0),"")</f>
        <v/>
      </c>
      <c r="C36" s="108" t="s">
        <v>31</v>
      </c>
      <c r="D36" s="272" t="s">
        <v>165</v>
      </c>
      <c r="E36" s="273"/>
      <c r="F36" s="166" t="s">
        <v>137</v>
      </c>
      <c r="G36" s="64" t="str">
        <f>IFERROR(VLOOKUP(B36,表!B37:C82,2,FALSE),"")</f>
        <v/>
      </c>
      <c r="H36" s="63" t="s">
        <v>33</v>
      </c>
    </row>
    <row r="37" spans="1:11">
      <c r="F37" s="167"/>
      <c r="I37" s="49"/>
    </row>
    <row r="38" spans="1:11" ht="15" thickBot="1">
      <c r="A38" s="129" t="s">
        <v>182</v>
      </c>
      <c r="B38" s="8"/>
      <c r="F38" s="167"/>
    </row>
    <row r="39" spans="1:11">
      <c r="A39" s="103" t="s">
        <v>29</v>
      </c>
      <c r="B39" s="104">
        <f>IFERROR(B30/1000/60,"")</f>
        <v>0</v>
      </c>
      <c r="C39" s="105" t="s">
        <v>178</v>
      </c>
      <c r="F39" s="167"/>
    </row>
    <row r="40" spans="1:11">
      <c r="A40" s="109" t="s">
        <v>30</v>
      </c>
      <c r="B40" s="216">
        <v>2</v>
      </c>
      <c r="C40" s="156" t="s">
        <v>177</v>
      </c>
      <c r="F40" s="167"/>
    </row>
    <row r="41" spans="1:11" ht="14.25" thickBot="1">
      <c r="A41" s="69" t="s">
        <v>169</v>
      </c>
      <c r="B41" s="110">
        <f>IFERROR(ROUND((SQRT(4*B39/(PI()*B40))*1000),0),"")</f>
        <v>0</v>
      </c>
      <c r="C41" s="108" t="s">
        <v>170</v>
      </c>
      <c r="D41" s="272" t="s">
        <v>165</v>
      </c>
      <c r="E41" s="273"/>
      <c r="F41" s="166" t="s">
        <v>138</v>
      </c>
      <c r="G41" s="64" t="str">
        <f>IFERROR(VLOOKUP(B41,表!B37:C107,2,FALSE),"")</f>
        <v/>
      </c>
      <c r="H41" s="63" t="s">
        <v>33</v>
      </c>
    </row>
    <row r="42" spans="1:11">
      <c r="A42" s="55"/>
      <c r="B42" s="55"/>
      <c r="C42" s="25"/>
      <c r="D42" s="8"/>
      <c r="F42" s="167"/>
    </row>
    <row r="43" spans="1:11" ht="15" thickBot="1">
      <c r="A43" s="130" t="s">
        <v>183</v>
      </c>
    </row>
    <row r="44" spans="1:11" ht="13.5" customHeight="1">
      <c r="A44" s="262" t="s">
        <v>55</v>
      </c>
      <c r="B44" s="252" t="s">
        <v>153</v>
      </c>
      <c r="C44" s="264"/>
      <c r="D44" s="203" t="s">
        <v>32</v>
      </c>
      <c r="E44" s="112" t="s">
        <v>45</v>
      </c>
      <c r="F44" s="112" t="s">
        <v>77</v>
      </c>
      <c r="G44" s="112" t="s">
        <v>43</v>
      </c>
      <c r="H44" s="112" t="s">
        <v>152</v>
      </c>
      <c r="I44" s="66" t="s">
        <v>44</v>
      </c>
      <c r="J44" s="245" t="s">
        <v>162</v>
      </c>
      <c r="K44" s="245" t="s">
        <v>161</v>
      </c>
    </row>
    <row r="45" spans="1:11" ht="14.25" thickBot="1">
      <c r="A45" s="263"/>
      <c r="B45" s="254"/>
      <c r="C45" s="265"/>
      <c r="D45" s="204" t="s">
        <v>83</v>
      </c>
      <c r="E45" s="125" t="s">
        <v>156</v>
      </c>
      <c r="F45" s="125" t="s">
        <v>82</v>
      </c>
      <c r="G45" s="125" t="s">
        <v>81</v>
      </c>
      <c r="H45" s="125" t="s">
        <v>85</v>
      </c>
      <c r="I45" s="126" t="s">
        <v>84</v>
      </c>
      <c r="J45" s="245"/>
      <c r="K45" s="245"/>
    </row>
    <row r="46" spans="1:11">
      <c r="A46" s="217" t="str">
        <f>'①設計シート（同時使用率1・２F）'!A48</f>
        <v>Ａ</v>
      </c>
      <c r="B46" s="266" t="s">
        <v>46</v>
      </c>
      <c r="C46" s="267"/>
      <c r="D46" s="80"/>
      <c r="E46" s="41"/>
      <c r="F46" s="30" t="str">
        <f t="shared" ref="F46:F56" si="4">IFERROR((E46/1000/60)/((D46/1000)^2*PI()/4),"  ")</f>
        <v xml:space="preserve">  </v>
      </c>
      <c r="G46" s="30" t="str">
        <f t="shared" ref="G46:G56" si="5">IFERROR(I46/H46*1000," ")</f>
        <v xml:space="preserve"> </v>
      </c>
      <c r="H46" s="218">
        <f>'①設計シート（同時使用率1・２F）'!H48</f>
        <v>0</v>
      </c>
      <c r="I46" s="123" t="str">
        <f>IF(D46&lt;=50,J46,K46)</f>
        <v>　</v>
      </c>
      <c r="J46" t="str">
        <f t="shared" ref="J46:J56" si="6">IFERROR(((0.0126+(0.01739-0.1087*(D46/1000))/SQRT(F46))*H46/(D46/1000)*F46^2/(2*9.8)),"　")</f>
        <v>　</v>
      </c>
      <c r="K46" t="str">
        <f t="shared" ref="K46:K56" si="7">IFERROR(10.666*(140^(-1.85) )*((D46/1000)^(-4.87))*(((E46/1000)/60)^1.85)*H46,"")</f>
        <v/>
      </c>
    </row>
    <row r="47" spans="1:11">
      <c r="A47" s="217" t="str">
        <f>'①設計シート（同時使用率1・２F）'!A49</f>
        <v>Ｂ</v>
      </c>
      <c r="B47" s="268" t="s">
        <v>47</v>
      </c>
      <c r="C47" s="269"/>
      <c r="D47" s="75"/>
      <c r="E47" s="41"/>
      <c r="F47" s="2" t="str">
        <f t="shared" si="4"/>
        <v xml:space="preserve">  </v>
      </c>
      <c r="G47" s="2" t="str">
        <f t="shared" si="5"/>
        <v xml:space="preserve"> </v>
      </c>
      <c r="H47" s="218">
        <f>'①設計シート（同時使用率1・２F）'!H49</f>
        <v>0</v>
      </c>
      <c r="I47" s="114" t="str">
        <f t="shared" ref="I47:I56" si="8">IF(D47&lt;=50,J47,K47)</f>
        <v>　</v>
      </c>
      <c r="J47" t="str">
        <f t="shared" si="6"/>
        <v>　</v>
      </c>
      <c r="K47" t="str">
        <f t="shared" si="7"/>
        <v/>
      </c>
    </row>
    <row r="48" spans="1:11">
      <c r="A48" s="217" t="str">
        <f>'①設計シート（同時使用率1・２F）'!A50</f>
        <v>Ｃ</v>
      </c>
      <c r="B48" s="268" t="s">
        <v>48</v>
      </c>
      <c r="C48" s="269"/>
      <c r="D48" s="75"/>
      <c r="E48" s="41"/>
      <c r="F48" s="2" t="str">
        <f t="shared" si="4"/>
        <v xml:space="preserve">  </v>
      </c>
      <c r="G48" s="2" t="str">
        <f t="shared" si="5"/>
        <v xml:space="preserve"> </v>
      </c>
      <c r="H48" s="218">
        <f>'①設計シート（同時使用率1・２F）'!H50</f>
        <v>0</v>
      </c>
      <c r="I48" s="114" t="str">
        <f t="shared" si="8"/>
        <v>　</v>
      </c>
      <c r="J48" t="str">
        <f t="shared" si="6"/>
        <v>　</v>
      </c>
      <c r="K48" t="str">
        <f t="shared" si="7"/>
        <v/>
      </c>
    </row>
    <row r="49" spans="1:11">
      <c r="A49" s="217" t="str">
        <f>'①設計シート（同時使用率1・２F）'!A51</f>
        <v>Ｄ</v>
      </c>
      <c r="B49" s="268" t="s">
        <v>49</v>
      </c>
      <c r="C49" s="269"/>
      <c r="D49" s="75"/>
      <c r="E49" s="41"/>
      <c r="F49" s="2" t="str">
        <f t="shared" si="4"/>
        <v xml:space="preserve">  </v>
      </c>
      <c r="G49" s="2" t="str">
        <f t="shared" si="5"/>
        <v xml:space="preserve"> </v>
      </c>
      <c r="H49" s="218">
        <f>'①設計シート（同時使用率1・２F）'!H51</f>
        <v>0</v>
      </c>
      <c r="I49" s="114" t="str">
        <f t="shared" si="8"/>
        <v>　</v>
      </c>
      <c r="J49" t="str">
        <f t="shared" si="6"/>
        <v>　</v>
      </c>
      <c r="K49" t="str">
        <f t="shared" si="7"/>
        <v/>
      </c>
    </row>
    <row r="50" spans="1:11">
      <c r="A50" s="217" t="str">
        <f>'①設計シート（同時使用率1・２F）'!A52</f>
        <v>Ｅ</v>
      </c>
      <c r="B50" s="268" t="s">
        <v>50</v>
      </c>
      <c r="C50" s="269"/>
      <c r="D50" s="75"/>
      <c r="E50" s="41"/>
      <c r="F50" s="2" t="str">
        <f t="shared" si="4"/>
        <v xml:space="preserve">  </v>
      </c>
      <c r="G50" s="2" t="str">
        <f t="shared" si="5"/>
        <v xml:space="preserve"> </v>
      </c>
      <c r="H50" s="218">
        <f>'①設計シート（同時使用率1・２F）'!H52</f>
        <v>0</v>
      </c>
      <c r="I50" s="114" t="str">
        <f t="shared" si="8"/>
        <v>　</v>
      </c>
      <c r="J50" t="str">
        <f t="shared" si="6"/>
        <v>　</v>
      </c>
      <c r="K50" t="str">
        <f t="shared" si="7"/>
        <v/>
      </c>
    </row>
    <row r="51" spans="1:11">
      <c r="A51" s="217" t="str">
        <f>'①設計シート（同時使用率1・２F）'!A53</f>
        <v>Ｆ</v>
      </c>
      <c r="B51" s="268" t="s">
        <v>51</v>
      </c>
      <c r="C51" s="269"/>
      <c r="D51" s="75"/>
      <c r="E51" s="41"/>
      <c r="F51" s="2" t="str">
        <f t="shared" si="4"/>
        <v xml:space="preserve">  </v>
      </c>
      <c r="G51" s="2" t="str">
        <f t="shared" si="5"/>
        <v xml:space="preserve"> </v>
      </c>
      <c r="H51" s="218">
        <f>'①設計シート（同時使用率1・２F）'!H53</f>
        <v>0</v>
      </c>
      <c r="I51" s="114" t="str">
        <f t="shared" si="8"/>
        <v>　</v>
      </c>
      <c r="J51" t="str">
        <f t="shared" si="6"/>
        <v>　</v>
      </c>
      <c r="K51" t="str">
        <f t="shared" si="7"/>
        <v/>
      </c>
    </row>
    <row r="52" spans="1:11">
      <c r="A52" s="217" t="str">
        <f>'①設計シート（同時使用率1・２F）'!A54</f>
        <v>Ｇ</v>
      </c>
      <c r="B52" s="268" t="s">
        <v>52</v>
      </c>
      <c r="C52" s="269"/>
      <c r="D52" s="75"/>
      <c r="E52" s="41"/>
      <c r="F52" s="2" t="str">
        <f t="shared" si="4"/>
        <v xml:space="preserve">  </v>
      </c>
      <c r="G52" s="2" t="str">
        <f t="shared" si="5"/>
        <v xml:space="preserve"> </v>
      </c>
      <c r="H52" s="218">
        <f>'①設計シート（同時使用率1・２F）'!H54</f>
        <v>0</v>
      </c>
      <c r="I52" s="114" t="str">
        <f t="shared" si="8"/>
        <v>　</v>
      </c>
      <c r="J52" t="str">
        <f t="shared" si="6"/>
        <v>　</v>
      </c>
      <c r="K52" t="str">
        <f t="shared" si="7"/>
        <v/>
      </c>
    </row>
    <row r="53" spans="1:11">
      <c r="A53" s="217" t="str">
        <f>'①設計シート（同時使用率1・２F）'!A55</f>
        <v>Ｈ</v>
      </c>
      <c r="B53" s="268" t="s">
        <v>53</v>
      </c>
      <c r="C53" s="269"/>
      <c r="D53" s="75"/>
      <c r="E53" s="41"/>
      <c r="F53" s="2" t="str">
        <f t="shared" si="4"/>
        <v xml:space="preserve">  </v>
      </c>
      <c r="G53" s="2" t="str">
        <f t="shared" si="5"/>
        <v xml:space="preserve"> </v>
      </c>
      <c r="H53" s="218">
        <f>'①設計シート（同時使用率1・２F）'!H55</f>
        <v>0</v>
      </c>
      <c r="I53" s="114" t="str">
        <f t="shared" si="8"/>
        <v>　</v>
      </c>
      <c r="J53" t="str">
        <f t="shared" si="6"/>
        <v>　</v>
      </c>
      <c r="K53" t="str">
        <f t="shared" si="7"/>
        <v/>
      </c>
    </row>
    <row r="54" spans="1:11">
      <c r="A54" s="217" t="str">
        <f>'①設計シート（同時使用率1・２F）'!A56</f>
        <v>Ｉ</v>
      </c>
      <c r="B54" s="268" t="s">
        <v>54</v>
      </c>
      <c r="C54" s="269"/>
      <c r="D54" s="75"/>
      <c r="E54" s="41"/>
      <c r="F54" s="2" t="str">
        <f t="shared" si="4"/>
        <v xml:space="preserve">  </v>
      </c>
      <c r="G54" s="2" t="str">
        <f t="shared" si="5"/>
        <v xml:space="preserve"> </v>
      </c>
      <c r="H54" s="218">
        <f>'①設計シート（同時使用率1・２F）'!H56</f>
        <v>0</v>
      </c>
      <c r="I54" s="114" t="str">
        <f t="shared" si="8"/>
        <v>　</v>
      </c>
      <c r="J54" t="str">
        <f t="shared" si="6"/>
        <v>　</v>
      </c>
      <c r="K54" t="str">
        <f t="shared" si="7"/>
        <v/>
      </c>
    </row>
    <row r="55" spans="1:11">
      <c r="A55" s="217" t="str">
        <f>'①設計シート（同時使用率1・２F）'!A57</f>
        <v>J</v>
      </c>
      <c r="B55" s="258" t="s">
        <v>175</v>
      </c>
      <c r="C55" s="259"/>
      <c r="D55" s="80"/>
      <c r="E55" s="41"/>
      <c r="F55" s="30" t="str">
        <f t="shared" si="4"/>
        <v xml:space="preserve">  </v>
      </c>
      <c r="G55" s="30" t="str">
        <f t="shared" si="5"/>
        <v xml:space="preserve"> </v>
      </c>
      <c r="H55" s="218">
        <f>'①設計シート（同時使用率1・２F）'!H57</f>
        <v>0</v>
      </c>
      <c r="I55" s="123" t="str">
        <f>IF(D55&lt;=50,J55,K55)</f>
        <v>　</v>
      </c>
      <c r="J55" t="str">
        <f t="shared" si="6"/>
        <v>　</v>
      </c>
      <c r="K55" t="str">
        <f t="shared" si="7"/>
        <v/>
      </c>
    </row>
    <row r="56" spans="1:11" ht="14.25" thickBot="1">
      <c r="A56" s="219" t="str">
        <f>'①設計シート（同時使用率1・２F）'!A58</f>
        <v>K</v>
      </c>
      <c r="B56" s="260" t="s">
        <v>176</v>
      </c>
      <c r="C56" s="261"/>
      <c r="D56" s="75"/>
      <c r="E56" s="41"/>
      <c r="F56" s="26" t="str">
        <f t="shared" si="4"/>
        <v xml:space="preserve">  </v>
      </c>
      <c r="G56" s="26" t="str">
        <f t="shared" si="5"/>
        <v xml:space="preserve"> </v>
      </c>
      <c r="H56" s="218">
        <f>'①設計シート（同時使用率1・２F）'!H58</f>
        <v>0</v>
      </c>
      <c r="I56" s="114" t="str">
        <f t="shared" si="8"/>
        <v>　</v>
      </c>
      <c r="J56" t="str">
        <f t="shared" si="6"/>
        <v>　</v>
      </c>
      <c r="K56" t="str">
        <f t="shared" si="7"/>
        <v/>
      </c>
    </row>
    <row r="57" spans="1:11" ht="14.25" thickBot="1">
      <c r="A57" s="248" t="s">
        <v>57</v>
      </c>
      <c r="B57" s="249"/>
      <c r="C57" s="249"/>
      <c r="D57" s="250"/>
      <c r="E57" s="250"/>
      <c r="F57" s="250"/>
      <c r="G57" s="250"/>
      <c r="H57" s="251"/>
      <c r="I57" s="116" t="str">
        <f>IF(SUM(I46:I56),SUM(I46:I56)," ")</f>
        <v xml:space="preserve"> </v>
      </c>
      <c r="K57" t="str">
        <f>IFERROR(10.666*140^(-1.85) *(D57/1000)^(-4.87)*E57^1.85*H57,"")</f>
        <v/>
      </c>
    </row>
    <row r="58" spans="1:11">
      <c r="A58" s="8"/>
    </row>
    <row r="59" spans="1:11" ht="15" thickBot="1">
      <c r="A59" s="131" t="s">
        <v>184</v>
      </c>
      <c r="C59" s="192" t="s">
        <v>258</v>
      </c>
    </row>
    <row r="60" spans="1:11">
      <c r="A60" s="262" t="s">
        <v>55</v>
      </c>
      <c r="B60" s="252" t="s">
        <v>75</v>
      </c>
      <c r="C60" s="253"/>
      <c r="D60" s="112" t="s">
        <v>126</v>
      </c>
      <c r="E60" s="112" t="s">
        <v>45</v>
      </c>
      <c r="F60" s="112" t="s">
        <v>77</v>
      </c>
      <c r="G60" s="112" t="s">
        <v>43</v>
      </c>
      <c r="H60" s="112" t="s">
        <v>66</v>
      </c>
      <c r="I60" s="66" t="s">
        <v>44</v>
      </c>
    </row>
    <row r="61" spans="1:11" ht="14.25" thickBot="1">
      <c r="A61" s="263"/>
      <c r="B61" s="254"/>
      <c r="C61" s="255"/>
      <c r="D61" s="125" t="s">
        <v>83</v>
      </c>
      <c r="E61" s="125" t="s">
        <v>156</v>
      </c>
      <c r="F61" s="125" t="s">
        <v>82</v>
      </c>
      <c r="G61" s="125" t="s">
        <v>81</v>
      </c>
      <c r="H61" s="125" t="s">
        <v>85</v>
      </c>
      <c r="I61" s="126" t="s">
        <v>84</v>
      </c>
    </row>
    <row r="62" spans="1:11">
      <c r="A62" s="217">
        <f>'①設計シート（同時使用率1・２F）'!A64</f>
        <v>0</v>
      </c>
      <c r="B62" s="299">
        <f>'①設計シート（同時使用率1・２F）'!B64:C64</f>
        <v>0</v>
      </c>
      <c r="C62" s="300"/>
      <c r="D62" s="41"/>
      <c r="E62" s="41"/>
      <c r="F62" s="30" t="str">
        <f t="shared" ref="F62:F83" si="9">IFERROR((E62/1000/60)/((D62/1000)^2*PI()/4),"")</f>
        <v/>
      </c>
      <c r="G62" s="30" t="str">
        <f t="shared" ref="G62:G82" si="10">IFERROR(I62/H62*1000," ")</f>
        <v xml:space="preserve"> </v>
      </c>
      <c r="H62" s="218" t="str">
        <f>'①設計シート（同時使用率1・２F）'!H64</f>
        <v/>
      </c>
      <c r="I62" s="123" t="str">
        <f>IF(D62&lt;=50,J62,K62)</f>
        <v>　</v>
      </c>
      <c r="J62" t="str">
        <f>IFERROR(((0.0126+(0.01739-0.1087*(D62/1000))/SQRT(F62))*H62/(D62/1000)*F62^2/(2*9.8)),"　")</f>
        <v>　</v>
      </c>
      <c r="K62" t="str">
        <f>IFERROR(10.666*(140^(-1.85) )*((D62/1000)^(-4.87))*(((E62/1000)/60)^1.85)*H62,"")</f>
        <v/>
      </c>
    </row>
    <row r="63" spans="1:11">
      <c r="A63" s="217">
        <f>'①設計シート（同時使用率1・２F）'!A65</f>
        <v>0</v>
      </c>
      <c r="B63" s="299">
        <f>'①設計シート（同時使用率1・２F）'!B65:C65</f>
        <v>0</v>
      </c>
      <c r="C63" s="300"/>
      <c r="D63" s="4"/>
      <c r="E63" s="41"/>
      <c r="F63" s="2" t="str">
        <f t="shared" si="9"/>
        <v/>
      </c>
      <c r="G63" s="2" t="str">
        <f t="shared" si="10"/>
        <v xml:space="preserve"> </v>
      </c>
      <c r="H63" s="218" t="str">
        <f>'①設計シート（同時使用率1・２F）'!H65</f>
        <v/>
      </c>
      <c r="I63" s="123" t="str">
        <f t="shared" ref="I63:I82" si="11">IF(D63&lt;=50,J63,K63)</f>
        <v>　</v>
      </c>
      <c r="J63" t="str">
        <f t="shared" ref="J63:J82" si="12">IFERROR(((0.0126+(0.01739-0.1087*(D63/1000))/SQRT(F63))*H63/(D63/1000)*F63^2/(2*9.8)),"　")</f>
        <v>　</v>
      </c>
      <c r="K63" t="str">
        <f t="shared" ref="K63:K82" si="13">IFERROR(10.666*(140^(-1.85) )*((D63/1000)^(-4.87))*(((E63/1000)/60)^1.85)*H63,"")</f>
        <v/>
      </c>
    </row>
    <row r="64" spans="1:11">
      <c r="A64" s="217">
        <f>'①設計シート（同時使用率1・２F）'!A66</f>
        <v>0</v>
      </c>
      <c r="B64" s="299">
        <f>'①設計シート（同時使用率1・２F）'!B66:C66</f>
        <v>0</v>
      </c>
      <c r="C64" s="300"/>
      <c r="D64" s="4"/>
      <c r="E64" s="41"/>
      <c r="F64" s="2" t="str">
        <f t="shared" si="9"/>
        <v/>
      </c>
      <c r="G64" s="2" t="str">
        <f t="shared" si="10"/>
        <v xml:space="preserve"> </v>
      </c>
      <c r="H64" s="218" t="str">
        <f>'①設計シート（同時使用率1・２F）'!H66</f>
        <v/>
      </c>
      <c r="I64" s="123" t="str">
        <f t="shared" si="11"/>
        <v>　</v>
      </c>
      <c r="J64" t="str">
        <f t="shared" si="12"/>
        <v>　</v>
      </c>
      <c r="K64" t="str">
        <f t="shared" si="13"/>
        <v/>
      </c>
    </row>
    <row r="65" spans="1:11">
      <c r="A65" s="217">
        <f>'①設計シート（同時使用率1・２F）'!A67</f>
        <v>0</v>
      </c>
      <c r="B65" s="299">
        <f>'①設計シート（同時使用率1・２F）'!B67:C67</f>
        <v>0</v>
      </c>
      <c r="C65" s="300"/>
      <c r="D65" s="4"/>
      <c r="E65" s="41"/>
      <c r="F65" s="2" t="str">
        <f t="shared" si="9"/>
        <v/>
      </c>
      <c r="G65" s="2" t="str">
        <f t="shared" si="10"/>
        <v xml:space="preserve"> </v>
      </c>
      <c r="H65" s="218" t="str">
        <f>'①設計シート（同時使用率1・２F）'!H67</f>
        <v/>
      </c>
      <c r="I65" s="123" t="str">
        <f t="shared" si="11"/>
        <v>　</v>
      </c>
      <c r="J65" t="str">
        <f t="shared" si="12"/>
        <v>　</v>
      </c>
      <c r="K65" t="str">
        <f t="shared" si="13"/>
        <v/>
      </c>
    </row>
    <row r="66" spans="1:11">
      <c r="A66" s="217">
        <f>'①設計シート（同時使用率1・２F）'!A68</f>
        <v>0</v>
      </c>
      <c r="B66" s="299">
        <f>'①設計シート（同時使用率1・２F）'!B68:C68</f>
        <v>0</v>
      </c>
      <c r="C66" s="300"/>
      <c r="D66" s="4"/>
      <c r="E66" s="41"/>
      <c r="F66" s="2" t="str">
        <f t="shared" si="9"/>
        <v/>
      </c>
      <c r="G66" s="2" t="str">
        <f t="shared" si="10"/>
        <v xml:space="preserve"> </v>
      </c>
      <c r="H66" s="218" t="str">
        <f>'①設計シート（同時使用率1・２F）'!H68</f>
        <v/>
      </c>
      <c r="I66" s="123" t="str">
        <f t="shared" si="11"/>
        <v>　</v>
      </c>
      <c r="J66" t="str">
        <f t="shared" si="12"/>
        <v>　</v>
      </c>
      <c r="K66" t="str">
        <f t="shared" si="13"/>
        <v/>
      </c>
    </row>
    <row r="67" spans="1:11">
      <c r="A67" s="217">
        <f>'①設計シート（同時使用率1・２F）'!A69</f>
        <v>0</v>
      </c>
      <c r="B67" s="299">
        <f>'①設計シート（同時使用率1・２F）'!B69:C69</f>
        <v>0</v>
      </c>
      <c r="C67" s="300"/>
      <c r="D67" s="4"/>
      <c r="E67" s="41"/>
      <c r="F67" s="2" t="str">
        <f t="shared" si="9"/>
        <v/>
      </c>
      <c r="G67" s="2" t="str">
        <f t="shared" si="10"/>
        <v xml:space="preserve"> </v>
      </c>
      <c r="H67" s="218" t="str">
        <f>'①設計シート（同時使用率1・２F）'!H69</f>
        <v/>
      </c>
      <c r="I67" s="123" t="str">
        <f t="shared" si="11"/>
        <v>　</v>
      </c>
      <c r="J67" t="str">
        <f t="shared" si="12"/>
        <v>　</v>
      </c>
      <c r="K67" t="str">
        <f t="shared" si="13"/>
        <v/>
      </c>
    </row>
    <row r="68" spans="1:11">
      <c r="A68" s="217">
        <f>'①設計シート（同時使用率1・２F）'!A70</f>
        <v>0</v>
      </c>
      <c r="B68" s="299">
        <f>'①設計シート（同時使用率1・２F）'!B70:C70</f>
        <v>0</v>
      </c>
      <c r="C68" s="300"/>
      <c r="D68" s="4"/>
      <c r="E68" s="41"/>
      <c r="F68" s="2" t="str">
        <f t="shared" si="9"/>
        <v/>
      </c>
      <c r="G68" s="2" t="str">
        <f t="shared" si="10"/>
        <v xml:space="preserve"> </v>
      </c>
      <c r="H68" s="218" t="str">
        <f>'①設計シート（同時使用率1・２F）'!H70</f>
        <v/>
      </c>
      <c r="I68" s="123" t="str">
        <f t="shared" si="11"/>
        <v>　</v>
      </c>
      <c r="J68" t="str">
        <f t="shared" si="12"/>
        <v>　</v>
      </c>
      <c r="K68" t="str">
        <f t="shared" si="13"/>
        <v/>
      </c>
    </row>
    <row r="69" spans="1:11">
      <c r="A69" s="217">
        <f>'①設計シート（同時使用率1・２F）'!A71</f>
        <v>0</v>
      </c>
      <c r="B69" s="299">
        <f>'①設計シート（同時使用率1・２F）'!B71:C71</f>
        <v>0</v>
      </c>
      <c r="C69" s="300"/>
      <c r="D69" s="4"/>
      <c r="E69" s="41"/>
      <c r="F69" s="2" t="str">
        <f t="shared" si="9"/>
        <v/>
      </c>
      <c r="G69" s="2" t="str">
        <f t="shared" si="10"/>
        <v xml:space="preserve"> </v>
      </c>
      <c r="H69" s="218" t="str">
        <f>'①設計シート（同時使用率1・２F）'!H71</f>
        <v/>
      </c>
      <c r="I69" s="123" t="str">
        <f t="shared" si="11"/>
        <v>　</v>
      </c>
      <c r="J69" t="str">
        <f t="shared" si="12"/>
        <v>　</v>
      </c>
      <c r="K69" t="str">
        <f t="shared" si="13"/>
        <v/>
      </c>
    </row>
    <row r="70" spans="1:11">
      <c r="A70" s="217">
        <f>'①設計シート（同時使用率1・２F）'!A72</f>
        <v>0</v>
      </c>
      <c r="B70" s="299">
        <f>'①設計シート（同時使用率1・２F）'!B72:C72</f>
        <v>0</v>
      </c>
      <c r="C70" s="300"/>
      <c r="D70" s="4"/>
      <c r="E70" s="41"/>
      <c r="F70" s="2" t="str">
        <f t="shared" si="9"/>
        <v/>
      </c>
      <c r="G70" s="2" t="str">
        <f t="shared" si="10"/>
        <v xml:space="preserve"> </v>
      </c>
      <c r="H70" s="218" t="str">
        <f>'①設計シート（同時使用率1・２F）'!H72</f>
        <v/>
      </c>
      <c r="I70" s="123" t="str">
        <f t="shared" si="11"/>
        <v>　</v>
      </c>
      <c r="J70" t="str">
        <f t="shared" si="12"/>
        <v>　</v>
      </c>
      <c r="K70" t="str">
        <f t="shared" si="13"/>
        <v/>
      </c>
    </row>
    <row r="71" spans="1:11">
      <c r="A71" s="217">
        <f>'①設計シート（同時使用率1・２F）'!A73</f>
        <v>0</v>
      </c>
      <c r="B71" s="299">
        <f>'①設計シート（同時使用率1・２F）'!B73:C73</f>
        <v>0</v>
      </c>
      <c r="C71" s="300"/>
      <c r="D71" s="4"/>
      <c r="E71" s="41"/>
      <c r="F71" s="2" t="str">
        <f t="shared" si="9"/>
        <v/>
      </c>
      <c r="G71" s="2" t="str">
        <f t="shared" si="10"/>
        <v xml:space="preserve"> </v>
      </c>
      <c r="H71" s="218" t="str">
        <f>'①設計シート（同時使用率1・２F）'!H73</f>
        <v/>
      </c>
      <c r="I71" s="123" t="str">
        <f t="shared" si="11"/>
        <v>　</v>
      </c>
      <c r="J71" t="str">
        <f t="shared" si="12"/>
        <v>　</v>
      </c>
      <c r="K71" t="str">
        <f t="shared" si="13"/>
        <v/>
      </c>
    </row>
    <row r="72" spans="1:11">
      <c r="A72" s="217">
        <f>'①設計シート（同時使用率1・２F）'!A74</f>
        <v>0</v>
      </c>
      <c r="B72" s="299">
        <f>'①設計シート（同時使用率1・２F）'!B74:C74</f>
        <v>0</v>
      </c>
      <c r="C72" s="300"/>
      <c r="D72" s="4"/>
      <c r="E72" s="41"/>
      <c r="F72" s="2" t="str">
        <f t="shared" si="9"/>
        <v/>
      </c>
      <c r="G72" s="2" t="str">
        <f t="shared" si="10"/>
        <v xml:space="preserve"> </v>
      </c>
      <c r="H72" s="218" t="str">
        <f>'①設計シート（同時使用率1・２F）'!H74</f>
        <v/>
      </c>
      <c r="I72" s="123" t="str">
        <f t="shared" si="11"/>
        <v>　</v>
      </c>
      <c r="J72" t="str">
        <f t="shared" si="12"/>
        <v>　</v>
      </c>
      <c r="K72" t="str">
        <f t="shared" si="13"/>
        <v/>
      </c>
    </row>
    <row r="73" spans="1:11">
      <c r="A73" s="217">
        <f>'①設計シート（同時使用率1・２F）'!A75</f>
        <v>0</v>
      </c>
      <c r="B73" s="299">
        <f>'①設計シート（同時使用率1・２F）'!B75:C75</f>
        <v>0</v>
      </c>
      <c r="C73" s="300"/>
      <c r="D73" s="4"/>
      <c r="E73" s="41"/>
      <c r="F73" s="26" t="str">
        <f t="shared" si="9"/>
        <v/>
      </c>
      <c r="G73" s="26" t="str">
        <f t="shared" si="10"/>
        <v xml:space="preserve"> </v>
      </c>
      <c r="H73" s="218" t="str">
        <f>'①設計シート（同時使用率1・２F）'!H75</f>
        <v/>
      </c>
      <c r="I73" s="123" t="str">
        <f t="shared" si="11"/>
        <v>　</v>
      </c>
      <c r="J73" t="str">
        <f t="shared" si="12"/>
        <v>　</v>
      </c>
      <c r="K73" t="str">
        <f t="shared" si="13"/>
        <v/>
      </c>
    </row>
    <row r="74" spans="1:11">
      <c r="A74" s="217">
        <f>'①設計シート（同時使用率1・２F）'!A76</f>
        <v>0</v>
      </c>
      <c r="B74" s="299">
        <f>'①設計シート（同時使用率1・２F）'!B76:C76</f>
        <v>0</v>
      </c>
      <c r="C74" s="300"/>
      <c r="D74" s="29"/>
      <c r="E74" s="41"/>
      <c r="F74" s="2" t="str">
        <f t="shared" si="9"/>
        <v/>
      </c>
      <c r="G74" s="2" t="str">
        <f t="shared" si="10"/>
        <v xml:space="preserve"> </v>
      </c>
      <c r="H74" s="218" t="str">
        <f>'①設計シート（同時使用率1・２F）'!H76</f>
        <v/>
      </c>
      <c r="I74" s="123" t="str">
        <f t="shared" si="11"/>
        <v>　</v>
      </c>
      <c r="J74" t="str">
        <f t="shared" si="12"/>
        <v>　</v>
      </c>
      <c r="K74" t="str">
        <f t="shared" si="13"/>
        <v/>
      </c>
    </row>
    <row r="75" spans="1:11">
      <c r="A75" s="217">
        <f>'①設計シート（同時使用率1・２F）'!A77</f>
        <v>0</v>
      </c>
      <c r="B75" s="301">
        <f>'①設計シート（同時使用率1・２F）'!B77:C77</f>
        <v>0</v>
      </c>
      <c r="C75" s="302"/>
      <c r="D75" s="4"/>
      <c r="E75" s="41"/>
      <c r="F75" s="2" t="str">
        <f t="shared" si="9"/>
        <v/>
      </c>
      <c r="G75" s="2" t="str">
        <f t="shared" si="10"/>
        <v xml:space="preserve"> </v>
      </c>
      <c r="H75" s="218" t="str">
        <f>'①設計シート（同時使用率1・２F）'!H77</f>
        <v/>
      </c>
      <c r="I75" s="123" t="str">
        <f t="shared" si="11"/>
        <v>　</v>
      </c>
      <c r="J75" t="str">
        <f t="shared" si="12"/>
        <v>　</v>
      </c>
      <c r="K75" t="str">
        <f t="shared" si="13"/>
        <v/>
      </c>
    </row>
    <row r="76" spans="1:11">
      <c r="A76" s="217">
        <f>'①設計シート（同時使用率1・２F）'!A78</f>
        <v>0</v>
      </c>
      <c r="B76" s="301">
        <f>'①設計シート（同時使用率1・２F）'!B78:C78</f>
        <v>0</v>
      </c>
      <c r="C76" s="302"/>
      <c r="D76" s="42"/>
      <c r="E76" s="41"/>
      <c r="F76" s="2" t="str">
        <f t="shared" si="9"/>
        <v/>
      </c>
      <c r="G76" s="2" t="str">
        <f t="shared" si="10"/>
        <v xml:space="preserve"> </v>
      </c>
      <c r="H76" s="218" t="str">
        <f>'①設計シート（同時使用率1・２F）'!H78</f>
        <v/>
      </c>
      <c r="I76" s="123" t="str">
        <f t="shared" si="11"/>
        <v>　</v>
      </c>
      <c r="J76" t="str">
        <f t="shared" si="12"/>
        <v>　</v>
      </c>
      <c r="K76" t="str">
        <f t="shared" si="13"/>
        <v/>
      </c>
    </row>
    <row r="77" spans="1:11">
      <c r="A77" s="217">
        <f>'①設計シート（同時使用率1・２F）'!A79</f>
        <v>0</v>
      </c>
      <c r="B77" s="301">
        <f>'①設計シート（同時使用率1・２F）'!B79:C79</f>
        <v>0</v>
      </c>
      <c r="C77" s="302"/>
      <c r="D77" s="42"/>
      <c r="E77" s="41"/>
      <c r="F77" s="2" t="str">
        <f t="shared" si="9"/>
        <v/>
      </c>
      <c r="G77" s="2" t="str">
        <f t="shared" si="10"/>
        <v xml:space="preserve"> </v>
      </c>
      <c r="H77" s="218" t="str">
        <f>'①設計シート（同時使用率1・２F）'!H79</f>
        <v/>
      </c>
      <c r="I77" s="123" t="str">
        <f t="shared" si="11"/>
        <v>　</v>
      </c>
      <c r="J77" t="str">
        <f t="shared" si="12"/>
        <v>　</v>
      </c>
      <c r="K77" t="str">
        <f t="shared" si="13"/>
        <v/>
      </c>
    </row>
    <row r="78" spans="1:11">
      <c r="A78" s="217">
        <f>'①設計シート（同時使用率1・２F）'!A80</f>
        <v>0</v>
      </c>
      <c r="B78" s="301">
        <f>'①設計シート（同時使用率1・２F）'!B80:C80</f>
        <v>0</v>
      </c>
      <c r="C78" s="302"/>
      <c r="D78" s="42"/>
      <c r="E78" s="41"/>
      <c r="F78" s="2" t="str">
        <f t="shared" si="9"/>
        <v/>
      </c>
      <c r="G78" s="2" t="str">
        <f t="shared" si="10"/>
        <v xml:space="preserve"> </v>
      </c>
      <c r="H78" s="218" t="str">
        <f>'①設計シート（同時使用率1・２F）'!H80</f>
        <v/>
      </c>
      <c r="I78" s="123" t="str">
        <f t="shared" si="11"/>
        <v>　</v>
      </c>
      <c r="J78" t="str">
        <f t="shared" si="12"/>
        <v>　</v>
      </c>
      <c r="K78" t="str">
        <f t="shared" si="13"/>
        <v/>
      </c>
    </row>
    <row r="79" spans="1:11">
      <c r="A79" s="217">
        <f>'①設計シート（同時使用率1・２F）'!A81</f>
        <v>0</v>
      </c>
      <c r="B79" s="301">
        <f>'①設計シート（同時使用率1・２F）'!B81:C81</f>
        <v>0</v>
      </c>
      <c r="C79" s="302"/>
      <c r="D79" s="42"/>
      <c r="E79" s="41"/>
      <c r="F79" s="2" t="str">
        <f t="shared" si="9"/>
        <v/>
      </c>
      <c r="G79" s="2" t="str">
        <f t="shared" si="10"/>
        <v xml:space="preserve"> </v>
      </c>
      <c r="H79" s="218" t="str">
        <f>'①設計シート（同時使用率1・２F）'!H81</f>
        <v/>
      </c>
      <c r="I79" s="123" t="str">
        <f t="shared" si="11"/>
        <v>　</v>
      </c>
      <c r="J79" t="str">
        <f t="shared" si="12"/>
        <v>　</v>
      </c>
      <c r="K79" t="str">
        <f t="shared" si="13"/>
        <v/>
      </c>
    </row>
    <row r="80" spans="1:11">
      <c r="A80" s="217">
        <f>'①設計シート（同時使用率1・２F）'!A82</f>
        <v>0</v>
      </c>
      <c r="B80" s="301">
        <f>'①設計シート（同時使用率1・２F）'!B82:C82</f>
        <v>0</v>
      </c>
      <c r="C80" s="302"/>
      <c r="D80" s="42"/>
      <c r="E80" s="41"/>
      <c r="F80" s="2" t="str">
        <f t="shared" si="9"/>
        <v/>
      </c>
      <c r="G80" s="2" t="str">
        <f t="shared" si="10"/>
        <v xml:space="preserve"> </v>
      </c>
      <c r="H80" s="218" t="str">
        <f>'①設計シート（同時使用率1・２F）'!H82</f>
        <v/>
      </c>
      <c r="I80" s="123" t="str">
        <f t="shared" si="11"/>
        <v>　</v>
      </c>
      <c r="J80" t="str">
        <f t="shared" si="12"/>
        <v>　</v>
      </c>
      <c r="K80" t="str">
        <f t="shared" si="13"/>
        <v/>
      </c>
    </row>
    <row r="81" spans="1:11">
      <c r="A81" s="217">
        <f>'①設計シート（同時使用率1・２F）'!A83</f>
        <v>0</v>
      </c>
      <c r="B81" s="301">
        <f>'①設計シート（同時使用率1・２F）'!B83:C83</f>
        <v>0</v>
      </c>
      <c r="C81" s="302"/>
      <c r="D81" s="42"/>
      <c r="E81" s="41"/>
      <c r="F81" s="2" t="str">
        <f t="shared" si="9"/>
        <v/>
      </c>
      <c r="G81" s="2" t="str">
        <f t="shared" si="10"/>
        <v xml:space="preserve"> </v>
      </c>
      <c r="H81" s="218" t="str">
        <f>'①設計シート（同時使用率1・２F）'!H83</f>
        <v/>
      </c>
      <c r="I81" s="123" t="str">
        <f t="shared" si="11"/>
        <v>　</v>
      </c>
      <c r="J81" t="str">
        <f t="shared" si="12"/>
        <v>　</v>
      </c>
      <c r="K81" t="str">
        <f t="shared" si="13"/>
        <v/>
      </c>
    </row>
    <row r="82" spans="1:11">
      <c r="A82" s="217">
        <f>'①設計シート（同時使用率1・２F）'!A84</f>
        <v>0</v>
      </c>
      <c r="B82" s="301">
        <f>'①設計シート（同時使用率1・２F）'!B84:C84</f>
        <v>0</v>
      </c>
      <c r="C82" s="302"/>
      <c r="D82" s="42"/>
      <c r="E82" s="41"/>
      <c r="F82" s="2" t="str">
        <f t="shared" si="9"/>
        <v/>
      </c>
      <c r="G82" s="2" t="str">
        <f t="shared" si="10"/>
        <v xml:space="preserve"> </v>
      </c>
      <c r="H82" s="59" t="str">
        <f>'①設計シート（同時使用率1・２F）'!H84</f>
        <v/>
      </c>
      <c r="I82" s="114" t="str">
        <f t="shared" si="11"/>
        <v>　</v>
      </c>
      <c r="J82" t="str">
        <f t="shared" si="12"/>
        <v>　</v>
      </c>
      <c r="K82" t="str">
        <f t="shared" si="13"/>
        <v/>
      </c>
    </row>
    <row r="83" spans="1:11">
      <c r="A83" s="67"/>
      <c r="B83" s="2" t="s">
        <v>86</v>
      </c>
      <c r="C83" s="2"/>
      <c r="D83" s="218">
        <f>'①設計シート（同時使用率1・２F）'!D85</f>
        <v>0</v>
      </c>
      <c r="E83" s="2"/>
      <c r="F83" s="30" t="str">
        <f t="shared" si="9"/>
        <v/>
      </c>
      <c r="G83" s="30"/>
      <c r="H83" s="242" t="str">
        <f>'①設計シート（同時使用率1・２F）'!H85</f>
        <v/>
      </c>
      <c r="I83" s="123" t="str">
        <f>IF(D83&gt;0,1,"")</f>
        <v/>
      </c>
    </row>
    <row r="84" spans="1:11">
      <c r="A84" s="67"/>
      <c r="B84" s="2" t="s">
        <v>76</v>
      </c>
      <c r="C84" s="2"/>
      <c r="D84" s="3"/>
      <c r="E84" s="2"/>
      <c r="F84" s="2"/>
      <c r="G84" s="50"/>
      <c r="H84" s="51"/>
      <c r="I84" s="114">
        <f>'①設計シート（同時使用率1・２F）'!I86</f>
        <v>0</v>
      </c>
      <c r="J84" s="18" t="str">
        <f>IF(I84&gt;10,"エラー　制限高超え","")</f>
        <v/>
      </c>
    </row>
    <row r="85" spans="1:11">
      <c r="A85" s="67"/>
      <c r="B85" s="14" t="s">
        <v>186</v>
      </c>
      <c r="C85" s="16"/>
      <c r="D85" s="15"/>
      <c r="E85" s="16"/>
      <c r="F85" s="16"/>
      <c r="G85" s="16"/>
      <c r="H85" s="17"/>
      <c r="I85" s="114">
        <f>'①設計シート（同時使用率1・２F）'!I87</f>
        <v>0</v>
      </c>
      <c r="J85" s="8"/>
      <c r="K85" s="8"/>
    </row>
    <row r="86" spans="1:11" ht="14.25" thickBot="1">
      <c r="A86" s="72"/>
      <c r="B86" s="135" t="s">
        <v>125</v>
      </c>
      <c r="C86" s="136"/>
      <c r="D86" s="136"/>
      <c r="E86" s="136"/>
      <c r="F86" s="136"/>
      <c r="G86" s="136"/>
      <c r="H86" s="137"/>
      <c r="I86" s="116" t="str">
        <f>IF(SUM(I62:I85),SUM(I62:I85)," ")</f>
        <v xml:space="preserve"> </v>
      </c>
    </row>
    <row r="88" spans="1:11">
      <c r="A88" s="63" t="s">
        <v>203</v>
      </c>
    </row>
    <row r="89" spans="1:11">
      <c r="A89" t="s">
        <v>67</v>
      </c>
      <c r="C89" s="59" t="str">
        <f>I57</f>
        <v xml:space="preserve"> </v>
      </c>
      <c r="D89" s="8" t="s">
        <v>174</v>
      </c>
    </row>
    <row r="90" spans="1:11">
      <c r="A90" t="s">
        <v>68</v>
      </c>
      <c r="C90" s="59" t="str">
        <f>I86</f>
        <v xml:space="preserve"> </v>
      </c>
      <c r="D90" s="8" t="s">
        <v>174</v>
      </c>
    </row>
    <row r="91" spans="1:11">
      <c r="A91" t="s">
        <v>69</v>
      </c>
      <c r="C91" s="59" t="str">
        <f>IFERROR(C89+C90,"")</f>
        <v/>
      </c>
      <c r="D91" t="s">
        <v>72</v>
      </c>
    </row>
    <row r="92" spans="1:11">
      <c r="A92" t="s">
        <v>73</v>
      </c>
      <c r="C92" s="59" t="str">
        <f>IFERROR(ROUND(C91*0.0098,3),"")</f>
        <v/>
      </c>
      <c r="D92" t="s">
        <v>74</v>
      </c>
      <c r="J92" s="8"/>
    </row>
    <row r="93" spans="1:11">
      <c r="C93" s="15"/>
      <c r="D93" s="8"/>
      <c r="J93" s="8"/>
    </row>
    <row r="94" spans="1:11" ht="20.100000000000001" customHeight="1">
      <c r="A94" s="282" t="s">
        <v>70</v>
      </c>
      <c r="B94" s="283"/>
      <c r="C94" s="168" t="str">
        <f>IF(C92="","",IF(B31&gt;C92,"ＯＫ","ＮＧ"))</f>
        <v/>
      </c>
      <c r="D94" s="169" t="s">
        <v>71</v>
      </c>
      <c r="E94" s="173" t="str">
        <f>IF(C94="","",IF(C94="ＯＫ","設定の管径とする","圧力損失が大きく、使用状況により水の出が悪い又は出ない場合があります。再設計してください。"))</f>
        <v/>
      </c>
      <c r="F94" s="61"/>
      <c r="G94" s="61"/>
      <c r="H94" s="61"/>
      <c r="I94" s="54"/>
    </row>
    <row r="95" spans="1:11" ht="20.100000000000001" customHeight="1">
      <c r="A95" s="63"/>
      <c r="B95" s="170" t="s">
        <v>78</v>
      </c>
      <c r="C95" s="171">
        <f>MAX(F46:F82)</f>
        <v>0</v>
      </c>
      <c r="D95" s="169" t="s">
        <v>173</v>
      </c>
      <c r="E95" s="172" t="str">
        <f>IF(C95=0,"",IF(C95&gt;2,"ウォータハンマが発生する可能性があります。","問題なし"))</f>
        <v/>
      </c>
      <c r="F95" s="46"/>
      <c r="G95" s="46"/>
      <c r="H95" s="46"/>
      <c r="I95" s="46"/>
    </row>
    <row r="99" spans="10:10">
      <c r="J99" s="45"/>
    </row>
    <row r="100" spans="10:10">
      <c r="J100" s="45"/>
    </row>
    <row r="102" spans="10:10">
      <c r="J102" s="46"/>
    </row>
  </sheetData>
  <sheetProtection formatCells="0" selectLockedCells="1" selectUnlockedCells="1"/>
  <mergeCells count="53">
    <mergeCell ref="B80:C80"/>
    <mergeCell ref="B81:C81"/>
    <mergeCell ref="B82:C82"/>
    <mergeCell ref="A94:B94"/>
    <mergeCell ref="B74:C74"/>
    <mergeCell ref="B75:C75"/>
    <mergeCell ref="B76:C76"/>
    <mergeCell ref="B77:C77"/>
    <mergeCell ref="B78:C78"/>
    <mergeCell ref="B79:C79"/>
    <mergeCell ref="B73:C73"/>
    <mergeCell ref="B62:C62"/>
    <mergeCell ref="B63:C63"/>
    <mergeCell ref="B64:C64"/>
    <mergeCell ref="B65:C65"/>
    <mergeCell ref="B66:C66"/>
    <mergeCell ref="B67:C67"/>
    <mergeCell ref="B68:C68"/>
    <mergeCell ref="B69:C69"/>
    <mergeCell ref="B70:C70"/>
    <mergeCell ref="B71:C71"/>
    <mergeCell ref="B72:C72"/>
    <mergeCell ref="J44:J45"/>
    <mergeCell ref="K44:K45"/>
    <mergeCell ref="A60:A61"/>
    <mergeCell ref="B60:C61"/>
    <mergeCell ref="B47:C47"/>
    <mergeCell ref="B48:C48"/>
    <mergeCell ref="B49:C49"/>
    <mergeCell ref="B50:C50"/>
    <mergeCell ref="B51:C51"/>
    <mergeCell ref="B52:C52"/>
    <mergeCell ref="B53:C53"/>
    <mergeCell ref="B54:C54"/>
    <mergeCell ref="B55:C55"/>
    <mergeCell ref="B56:C56"/>
    <mergeCell ref="A57:H57"/>
    <mergeCell ref="E2:F2"/>
    <mergeCell ref="G2:I2"/>
    <mergeCell ref="E3:F3"/>
    <mergeCell ref="G3:I3"/>
    <mergeCell ref="D41:E41"/>
    <mergeCell ref="D31:E31"/>
    <mergeCell ref="F30:F31"/>
    <mergeCell ref="G30:G31"/>
    <mergeCell ref="H30:H31"/>
    <mergeCell ref="A8:A9"/>
    <mergeCell ref="F8:F9"/>
    <mergeCell ref="B46:C46"/>
    <mergeCell ref="D35:G35"/>
    <mergeCell ref="D36:E36"/>
    <mergeCell ref="A44:A45"/>
    <mergeCell ref="B44:C45"/>
  </mergeCells>
  <phoneticPr fontId="1"/>
  <conditionalFormatting sqref="G10:G25">
    <cfRule type="colorScale" priority="1">
      <colorScale>
        <cfvo type="min"/>
        <cfvo type="max"/>
        <color theme="0"/>
        <color theme="0"/>
      </colorScale>
    </cfRule>
    <cfRule type="colorScale" priority="2">
      <colorScale>
        <cfvo type="min"/>
        <cfvo type="max"/>
        <color theme="0"/>
        <color theme="0"/>
      </colorScale>
    </cfRule>
  </conditionalFormatting>
  <pageMargins left="0.70866141732283472" right="0.70866141732283472" top="0.74803149606299213" bottom="0.74803149606299213" header="0.31496062992125984" footer="0.31496062992125984"/>
  <pageSetup paperSize="9" scale="95" orientation="portrait" r:id="rId1"/>
  <headerFooter>
    <oddHeader>&amp;R&amp;"-,斜体"&amp;8②戸数から同時使用水量を算定</oddHeader>
  </headerFooter>
  <rowBreaks count="1" manualBreakCount="1">
    <brk id="58"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表!$F$5:$F$11</xm:f>
          </x14:formula1>
          <xm:sqref>D62:D82</xm:sqref>
        </x14:dataValidation>
        <x14:dataValidation type="list" allowBlank="1" showInputMessage="1" showErrorMessage="1">
          <x14:formula1>
            <xm:f>表!$E$5:$E$12</xm:f>
          </x14:formula1>
          <xm:sqref>D46:D56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L104"/>
  <sheetViews>
    <sheetView showZeros="0" view="pageBreakPreview" topLeftCell="A61" zoomScaleNormal="100" zoomScaleSheetLayoutView="100" workbookViewId="0">
      <selection activeCell="N102" sqref="N102"/>
    </sheetView>
  </sheetViews>
  <sheetFormatPr defaultRowHeight="13.5"/>
  <cols>
    <col min="1" max="1" width="15.875" customWidth="1"/>
    <col min="2" max="5" width="8.625" customWidth="1"/>
    <col min="6" max="6" width="15.875" customWidth="1"/>
    <col min="7" max="9" width="8.625" customWidth="1"/>
    <col min="10" max="12" width="9" hidden="1" customWidth="1"/>
  </cols>
  <sheetData>
    <row r="1" spans="1:10" ht="20.25" customHeight="1">
      <c r="A1" t="s">
        <v>129</v>
      </c>
    </row>
    <row r="2" spans="1:10" ht="18" customHeight="1" thickBot="1">
      <c r="A2" s="1" t="s">
        <v>131</v>
      </c>
      <c r="E2" s="277" t="s">
        <v>127</v>
      </c>
      <c r="F2" s="277"/>
      <c r="G2" s="292">
        <f>'①設計シート（同時使用率1・２F）'!G2:I2</f>
        <v>0</v>
      </c>
      <c r="H2" s="292"/>
      <c r="I2" s="292"/>
      <c r="J2" s="5"/>
    </row>
    <row r="3" spans="1:10" ht="18.75" customHeight="1" thickBot="1">
      <c r="A3" s="1" t="s">
        <v>130</v>
      </c>
      <c r="E3" s="279" t="s">
        <v>128</v>
      </c>
      <c r="F3" s="280"/>
      <c r="G3" s="293">
        <f>'①設計シート（同時使用率1・２F）'!G3:I3</f>
        <v>0</v>
      </c>
      <c r="H3" s="293"/>
      <c r="I3" s="293"/>
      <c r="J3" s="5"/>
    </row>
    <row r="5" spans="1:10">
      <c r="A5" s="198" t="s">
        <v>246</v>
      </c>
    </row>
    <row r="6" spans="1:10" ht="14.25">
      <c r="A6" s="127" t="s">
        <v>179</v>
      </c>
      <c r="B6" s="197" t="s">
        <v>253</v>
      </c>
      <c r="D6" s="48"/>
      <c r="F6" s="127" t="s">
        <v>180</v>
      </c>
      <c r="H6" s="200" t="s">
        <v>254</v>
      </c>
    </row>
    <row r="7" spans="1:10" ht="14.25" thickBot="1">
      <c r="D7" s="48"/>
      <c r="F7" s="139" t="s">
        <v>163</v>
      </c>
      <c r="G7" s="161" t="str">
        <f>IFERROR(VLOOKUP(B26,表!B4:C33,2,FALSE),"")</f>
        <v/>
      </c>
      <c r="H7" s="140" t="s">
        <v>167</v>
      </c>
    </row>
    <row r="8" spans="1:10">
      <c r="A8" s="270" t="s">
        <v>0</v>
      </c>
      <c r="B8" s="74" t="s">
        <v>15</v>
      </c>
      <c r="C8" s="65" t="s">
        <v>1</v>
      </c>
      <c r="D8" s="66" t="s">
        <v>17</v>
      </c>
      <c r="F8" s="270" t="s">
        <v>0</v>
      </c>
      <c r="G8" s="78" t="s">
        <v>15</v>
      </c>
      <c r="H8" s="65" t="s">
        <v>1</v>
      </c>
      <c r="I8" s="66" t="s">
        <v>17</v>
      </c>
      <c r="J8" s="55"/>
    </row>
    <row r="9" spans="1:10" ht="14.25" thickBot="1">
      <c r="A9" s="271"/>
      <c r="B9" s="82" t="s">
        <v>79</v>
      </c>
      <c r="C9" s="83" t="s">
        <v>80</v>
      </c>
      <c r="D9" s="84" t="s">
        <v>80</v>
      </c>
      <c r="F9" s="271"/>
      <c r="G9" s="87" t="s">
        <v>79</v>
      </c>
      <c r="H9" s="83" t="s">
        <v>80</v>
      </c>
      <c r="I9" s="84" t="s">
        <v>80</v>
      </c>
      <c r="J9" s="55"/>
    </row>
    <row r="10" spans="1:10">
      <c r="A10" s="162" t="s">
        <v>2</v>
      </c>
      <c r="B10" s="208">
        <f>'①設計シート（同時使用率1・２F）'!B10</f>
        <v>0</v>
      </c>
      <c r="C10" s="208">
        <f>'①設計シート（同時使用率1・２F）'!C10</f>
        <v>0</v>
      </c>
      <c r="D10" s="81">
        <f t="shared" ref="D10:D25" si="0">B10*C10</f>
        <v>0</v>
      </c>
      <c r="E10" s="144">
        <f t="shared" ref="E10:E25" si="1">IF(AND(B10=0,C10=0),0,IF(B10*C10=0,"←入力不備",""))</f>
        <v>0</v>
      </c>
      <c r="F10" s="162" t="s">
        <v>2</v>
      </c>
      <c r="G10" s="208">
        <f>'①設計シート（同時使用率1・２F）'!G10</f>
        <v>0</v>
      </c>
      <c r="H10" s="86" t="str">
        <f t="shared" ref="H10:H25" si="2">IF(C10=0,"",C10)</f>
        <v/>
      </c>
      <c r="I10" s="81" t="str">
        <f t="shared" ref="I10:I25" si="3">IFERROR(G10*H10,"")</f>
        <v/>
      </c>
      <c r="J10" s="10"/>
    </row>
    <row r="11" spans="1:10">
      <c r="A11" s="163" t="s">
        <v>3</v>
      </c>
      <c r="B11" s="208">
        <f>'①設計シート（同時使用率1・２F）'!B11</f>
        <v>0</v>
      </c>
      <c r="C11" s="208">
        <f>'①設計シート（同時使用率1・２F）'!C11</f>
        <v>0</v>
      </c>
      <c r="D11" s="68">
        <f t="shared" si="0"/>
        <v>0</v>
      </c>
      <c r="E11" s="144">
        <f t="shared" si="1"/>
        <v>0</v>
      </c>
      <c r="F11" s="163" t="s">
        <v>3</v>
      </c>
      <c r="G11" s="208">
        <f>'①設計シート（同時使用率1・２F）'!G11</f>
        <v>0</v>
      </c>
      <c r="H11" s="13" t="str">
        <f t="shared" si="2"/>
        <v/>
      </c>
      <c r="I11" s="68" t="str">
        <f t="shared" si="3"/>
        <v/>
      </c>
      <c r="J11" s="10"/>
    </row>
    <row r="12" spans="1:10">
      <c r="A12" s="163" t="s">
        <v>18</v>
      </c>
      <c r="B12" s="208">
        <f>'①設計シート（同時使用率1・２F）'!B12</f>
        <v>0</v>
      </c>
      <c r="C12" s="208">
        <f>'①設計シート（同時使用率1・２F）'!C12</f>
        <v>0</v>
      </c>
      <c r="D12" s="68">
        <f t="shared" si="0"/>
        <v>0</v>
      </c>
      <c r="E12" s="144">
        <f t="shared" si="1"/>
        <v>0</v>
      </c>
      <c r="F12" s="163" t="s">
        <v>18</v>
      </c>
      <c r="G12" s="208">
        <f>'①設計シート（同時使用率1・２F）'!G12</f>
        <v>0</v>
      </c>
      <c r="H12" s="13" t="str">
        <f t="shared" si="2"/>
        <v/>
      </c>
      <c r="I12" s="68" t="str">
        <f t="shared" si="3"/>
        <v/>
      </c>
      <c r="J12" s="10"/>
    </row>
    <row r="13" spans="1:10">
      <c r="A13" s="163" t="s">
        <v>4</v>
      </c>
      <c r="B13" s="208">
        <f>'①設計シート（同時使用率1・２F）'!B13</f>
        <v>0</v>
      </c>
      <c r="C13" s="208">
        <f>'①設計シート（同時使用率1・２F）'!C13</f>
        <v>0</v>
      </c>
      <c r="D13" s="68">
        <f t="shared" si="0"/>
        <v>0</v>
      </c>
      <c r="E13" s="144">
        <f t="shared" si="1"/>
        <v>0</v>
      </c>
      <c r="F13" s="163" t="s">
        <v>4</v>
      </c>
      <c r="G13" s="208">
        <f>'①設計シート（同時使用率1・２F）'!G13</f>
        <v>0</v>
      </c>
      <c r="H13" s="13" t="str">
        <f t="shared" si="2"/>
        <v/>
      </c>
      <c r="I13" s="68" t="str">
        <f t="shared" si="3"/>
        <v/>
      </c>
      <c r="J13" s="10"/>
    </row>
    <row r="14" spans="1:10">
      <c r="A14" s="163" t="s">
        <v>5</v>
      </c>
      <c r="B14" s="208">
        <f>'①設計シート（同時使用率1・２F）'!B14</f>
        <v>0</v>
      </c>
      <c r="C14" s="208">
        <f>'①設計シート（同時使用率1・２F）'!C14</f>
        <v>0</v>
      </c>
      <c r="D14" s="68">
        <f t="shared" si="0"/>
        <v>0</v>
      </c>
      <c r="E14" s="144">
        <f t="shared" si="1"/>
        <v>0</v>
      </c>
      <c r="F14" s="163" t="s">
        <v>5</v>
      </c>
      <c r="G14" s="208">
        <f>'①設計シート（同時使用率1・２F）'!G14</f>
        <v>0</v>
      </c>
      <c r="H14" s="13" t="str">
        <f t="shared" si="2"/>
        <v/>
      </c>
      <c r="I14" s="68" t="str">
        <f t="shared" si="3"/>
        <v/>
      </c>
      <c r="J14" s="10"/>
    </row>
    <row r="15" spans="1:10">
      <c r="A15" s="163" t="s">
        <v>6</v>
      </c>
      <c r="B15" s="208">
        <f>'①設計シート（同時使用率1・２F）'!B15</f>
        <v>0</v>
      </c>
      <c r="C15" s="208">
        <f>'①設計シート（同時使用率1・２F）'!C15</f>
        <v>0</v>
      </c>
      <c r="D15" s="68">
        <f t="shared" si="0"/>
        <v>0</v>
      </c>
      <c r="E15" s="144">
        <f t="shared" si="1"/>
        <v>0</v>
      </c>
      <c r="F15" s="163" t="s">
        <v>6</v>
      </c>
      <c r="G15" s="208">
        <f>'①設計シート（同時使用率1・２F）'!G15</f>
        <v>0</v>
      </c>
      <c r="H15" s="13" t="str">
        <f t="shared" si="2"/>
        <v/>
      </c>
      <c r="I15" s="68" t="str">
        <f t="shared" si="3"/>
        <v/>
      </c>
      <c r="J15" s="10"/>
    </row>
    <row r="16" spans="1:10">
      <c r="A16" s="163" t="s">
        <v>7</v>
      </c>
      <c r="B16" s="208">
        <f>'①設計シート（同時使用率1・２F）'!B16</f>
        <v>0</v>
      </c>
      <c r="C16" s="208">
        <f>'①設計シート（同時使用率1・２F）'!C16</f>
        <v>0</v>
      </c>
      <c r="D16" s="68">
        <f t="shared" si="0"/>
        <v>0</v>
      </c>
      <c r="E16" s="144">
        <f t="shared" si="1"/>
        <v>0</v>
      </c>
      <c r="F16" s="163" t="s">
        <v>7</v>
      </c>
      <c r="G16" s="208">
        <f>'①設計シート（同時使用率1・２F）'!G16</f>
        <v>0</v>
      </c>
      <c r="H16" s="13" t="str">
        <f t="shared" si="2"/>
        <v/>
      </c>
      <c r="I16" s="68" t="str">
        <f t="shared" si="3"/>
        <v/>
      </c>
      <c r="J16" s="10"/>
    </row>
    <row r="17" spans="1:12">
      <c r="A17" s="163" t="s">
        <v>8</v>
      </c>
      <c r="B17" s="208">
        <f>'①設計シート（同時使用率1・２F）'!B17</f>
        <v>0</v>
      </c>
      <c r="C17" s="208">
        <f>'①設計シート（同時使用率1・２F）'!C17</f>
        <v>0</v>
      </c>
      <c r="D17" s="68">
        <f t="shared" si="0"/>
        <v>0</v>
      </c>
      <c r="E17" s="144">
        <f t="shared" si="1"/>
        <v>0</v>
      </c>
      <c r="F17" s="163" t="s">
        <v>8</v>
      </c>
      <c r="G17" s="208">
        <f>'①設計シート（同時使用率1・２F）'!G17</f>
        <v>0</v>
      </c>
      <c r="H17" s="13" t="str">
        <f t="shared" si="2"/>
        <v/>
      </c>
      <c r="I17" s="68" t="str">
        <f t="shared" si="3"/>
        <v/>
      </c>
      <c r="J17" s="10"/>
    </row>
    <row r="18" spans="1:12">
      <c r="A18" s="163" t="s">
        <v>9</v>
      </c>
      <c r="B18" s="208">
        <f>'①設計シート（同時使用率1・２F）'!B18</f>
        <v>0</v>
      </c>
      <c r="C18" s="208">
        <f>'①設計シート（同時使用率1・２F）'!C18</f>
        <v>0</v>
      </c>
      <c r="D18" s="68">
        <f t="shared" si="0"/>
        <v>0</v>
      </c>
      <c r="E18" s="144">
        <f t="shared" si="1"/>
        <v>0</v>
      </c>
      <c r="F18" s="163" t="s">
        <v>9</v>
      </c>
      <c r="G18" s="208">
        <f>'①設計シート（同時使用率1・２F）'!G18</f>
        <v>0</v>
      </c>
      <c r="H18" s="13" t="str">
        <f t="shared" si="2"/>
        <v/>
      </c>
      <c r="I18" s="68" t="str">
        <f t="shared" si="3"/>
        <v/>
      </c>
      <c r="J18" s="10"/>
    </row>
    <row r="19" spans="1:12">
      <c r="A19" s="163" t="s">
        <v>10</v>
      </c>
      <c r="B19" s="208">
        <f>'①設計シート（同時使用率1・２F）'!B19</f>
        <v>0</v>
      </c>
      <c r="C19" s="208">
        <f>'①設計シート（同時使用率1・２F）'!C19</f>
        <v>0</v>
      </c>
      <c r="D19" s="68">
        <f t="shared" si="0"/>
        <v>0</v>
      </c>
      <c r="E19" s="144">
        <f t="shared" si="1"/>
        <v>0</v>
      </c>
      <c r="F19" s="163" t="s">
        <v>10</v>
      </c>
      <c r="G19" s="208">
        <f>'①設計シート（同時使用率1・２F）'!G19</f>
        <v>0</v>
      </c>
      <c r="H19" s="13" t="str">
        <f t="shared" si="2"/>
        <v/>
      </c>
      <c r="I19" s="68" t="str">
        <f t="shared" si="3"/>
        <v/>
      </c>
      <c r="J19" s="10"/>
    </row>
    <row r="20" spans="1:12">
      <c r="A20" s="163" t="s">
        <v>11</v>
      </c>
      <c r="B20" s="208">
        <f>'①設計シート（同時使用率1・２F）'!B20</f>
        <v>0</v>
      </c>
      <c r="C20" s="208">
        <f>'①設計シート（同時使用率1・２F）'!C20</f>
        <v>0</v>
      </c>
      <c r="D20" s="68">
        <f t="shared" si="0"/>
        <v>0</v>
      </c>
      <c r="E20" s="144">
        <f t="shared" si="1"/>
        <v>0</v>
      </c>
      <c r="F20" s="163" t="s">
        <v>11</v>
      </c>
      <c r="G20" s="208">
        <f>'①設計シート（同時使用率1・２F）'!G20</f>
        <v>0</v>
      </c>
      <c r="H20" s="13" t="str">
        <f t="shared" si="2"/>
        <v/>
      </c>
      <c r="I20" s="68" t="str">
        <f t="shared" si="3"/>
        <v/>
      </c>
      <c r="J20" s="10"/>
    </row>
    <row r="21" spans="1:12">
      <c r="A21" s="163" t="s">
        <v>12</v>
      </c>
      <c r="B21" s="208">
        <f>'①設計シート（同時使用率1・２F）'!B21</f>
        <v>0</v>
      </c>
      <c r="C21" s="208">
        <f>'①設計シート（同時使用率1・２F）'!C21</f>
        <v>0</v>
      </c>
      <c r="D21" s="68">
        <f t="shared" si="0"/>
        <v>0</v>
      </c>
      <c r="E21" s="144">
        <f t="shared" si="1"/>
        <v>0</v>
      </c>
      <c r="F21" s="163" t="s">
        <v>12</v>
      </c>
      <c r="G21" s="208">
        <f>'①設計シート（同時使用率1・２F）'!G21</f>
        <v>0</v>
      </c>
      <c r="H21" s="13" t="str">
        <f t="shared" si="2"/>
        <v/>
      </c>
      <c r="I21" s="68" t="str">
        <f t="shared" si="3"/>
        <v/>
      </c>
      <c r="J21" s="10"/>
    </row>
    <row r="22" spans="1:12">
      <c r="A22" s="163" t="s">
        <v>13</v>
      </c>
      <c r="B22" s="208">
        <f>'①設計シート（同時使用率1・２F）'!B22</f>
        <v>0</v>
      </c>
      <c r="C22" s="208">
        <f>'①設計シート（同時使用率1・２F）'!C22</f>
        <v>0</v>
      </c>
      <c r="D22" s="68">
        <f t="shared" si="0"/>
        <v>0</v>
      </c>
      <c r="E22" s="144">
        <f t="shared" si="1"/>
        <v>0</v>
      </c>
      <c r="F22" s="163" t="s">
        <v>13</v>
      </c>
      <c r="G22" s="208">
        <f>'①設計シート（同時使用率1・２F）'!G22</f>
        <v>0</v>
      </c>
      <c r="H22" s="13" t="str">
        <f t="shared" si="2"/>
        <v/>
      </c>
      <c r="I22" s="68" t="str">
        <f t="shared" si="3"/>
        <v/>
      </c>
      <c r="J22" s="10"/>
    </row>
    <row r="23" spans="1:12">
      <c r="A23" s="163" t="s">
        <v>14</v>
      </c>
      <c r="B23" s="208">
        <f>'①設計シート（同時使用率1・２F）'!B23</f>
        <v>0</v>
      </c>
      <c r="C23" s="208">
        <f>'①設計シート（同時使用率1・２F）'!C23</f>
        <v>0</v>
      </c>
      <c r="D23" s="68">
        <f t="shared" si="0"/>
        <v>0</v>
      </c>
      <c r="E23" s="144">
        <f t="shared" si="1"/>
        <v>0</v>
      </c>
      <c r="F23" s="163" t="s">
        <v>14</v>
      </c>
      <c r="G23" s="208">
        <f>'①設計シート（同時使用率1・２F）'!G23</f>
        <v>0</v>
      </c>
      <c r="H23" s="13" t="str">
        <f t="shared" si="2"/>
        <v/>
      </c>
      <c r="I23" s="68" t="str">
        <f t="shared" si="3"/>
        <v/>
      </c>
      <c r="J23" s="10"/>
    </row>
    <row r="24" spans="1:12">
      <c r="A24" s="163"/>
      <c r="B24" s="208">
        <f>'①設計シート（同時使用率1・２F）'!B24</f>
        <v>0</v>
      </c>
      <c r="C24" s="208">
        <f>'①設計シート（同時使用率1・２F）'!C24</f>
        <v>0</v>
      </c>
      <c r="D24" s="68">
        <f t="shared" si="0"/>
        <v>0</v>
      </c>
      <c r="E24" s="144">
        <f t="shared" si="1"/>
        <v>0</v>
      </c>
      <c r="F24" s="163"/>
      <c r="G24" s="208">
        <f>'①設計シート（同時使用率1・２F）'!G24</f>
        <v>0</v>
      </c>
      <c r="H24" s="13" t="str">
        <f t="shared" si="2"/>
        <v/>
      </c>
      <c r="I24" s="68" t="str">
        <f t="shared" si="3"/>
        <v/>
      </c>
      <c r="J24" s="10"/>
    </row>
    <row r="25" spans="1:12" ht="14.25" thickBot="1">
      <c r="A25" s="165"/>
      <c r="B25" s="228">
        <f>'①設計シート（同時使用率1・２F）'!B25</f>
        <v>0</v>
      </c>
      <c r="C25" s="228">
        <f>'①設計シート（同時使用率1・２F）'!C25</f>
        <v>0</v>
      </c>
      <c r="D25" s="90">
        <f t="shared" si="0"/>
        <v>0</v>
      </c>
      <c r="E25" s="144">
        <f t="shared" si="1"/>
        <v>0</v>
      </c>
      <c r="F25" s="165"/>
      <c r="G25" s="208">
        <f>'①設計シート（同時使用率1・２F）'!G25</f>
        <v>0</v>
      </c>
      <c r="H25" s="89" t="str">
        <f t="shared" si="2"/>
        <v/>
      </c>
      <c r="I25" s="90" t="str">
        <f t="shared" si="3"/>
        <v/>
      </c>
      <c r="J25" s="10"/>
    </row>
    <row r="26" spans="1:12" ht="14.25" thickBot="1">
      <c r="A26" s="91" t="s">
        <v>16</v>
      </c>
      <c r="B26" s="160" t="str">
        <f>IF(SUM(B10:B25),SUM(B10:B25)," ")</f>
        <v xml:space="preserve"> </v>
      </c>
      <c r="C26" s="229"/>
      <c r="D26" s="230" t="str">
        <f>IF(SUM(D10:D25),SUM(D10:D25)," ")</f>
        <v xml:space="preserve"> </v>
      </c>
      <c r="E26" s="18"/>
      <c r="F26" s="91" t="s">
        <v>27</v>
      </c>
      <c r="G26" s="92" t="str">
        <f>IF(SUM(G10:G25),SUM(G10:G25),"")</f>
        <v/>
      </c>
      <c r="H26" s="93" t="s">
        <v>132</v>
      </c>
      <c r="I26" s="238" t="str">
        <f>IF(SUM(I10:I25),SUM(I10:I25)," ")</f>
        <v xml:space="preserve"> </v>
      </c>
      <c r="J26" s="10"/>
    </row>
    <row r="27" spans="1:12">
      <c r="A27" s="8"/>
      <c r="C27" s="8"/>
      <c r="F27" s="47" t="str">
        <f>IF(G26="","",IF(G26&gt;G7,"同時使用水栓数が多すぎます。同時使用水栓数目標値："&amp;G7,IF(G26&lt;G7,"同時使用水栓数が足りていません。同時使用水栓数目標値："&amp;G7,"")))</f>
        <v/>
      </c>
      <c r="G27" s="44"/>
      <c r="H27" s="44"/>
      <c r="I27" s="44"/>
      <c r="J27" s="44"/>
    </row>
    <row r="28" spans="1:12" ht="15" thickBot="1">
      <c r="A28" s="128" t="s">
        <v>212</v>
      </c>
      <c r="C28" s="8"/>
      <c r="F28" s="47"/>
      <c r="G28" s="44"/>
      <c r="H28" s="44"/>
      <c r="I28" s="44"/>
      <c r="J28" s="44"/>
    </row>
    <row r="29" spans="1:12">
      <c r="A29" s="182" t="s">
        <v>216</v>
      </c>
      <c r="B29" s="183"/>
      <c r="C29" s="97" t="s">
        <v>150</v>
      </c>
      <c r="D29" s="52"/>
      <c r="E29" s="52"/>
      <c r="F29" s="52"/>
      <c r="G29" s="52"/>
    </row>
    <row r="30" spans="1:12">
      <c r="A30" s="184" t="s">
        <v>217</v>
      </c>
      <c r="B30" s="56">
        <f>'①設計シート（同時使用率1・２F）'!B29</f>
        <v>0</v>
      </c>
      <c r="C30" s="181" t="s">
        <v>218</v>
      </c>
      <c r="D30" s="154"/>
      <c r="E30" s="154"/>
      <c r="F30" s="154"/>
      <c r="G30" s="154"/>
    </row>
    <row r="31" spans="1:12">
      <c r="A31" s="180" t="s">
        <v>219</v>
      </c>
      <c r="B31" s="185">
        <f>ROUNDUP(B29*B30,0)</f>
        <v>0</v>
      </c>
      <c r="C31" s="181" t="s">
        <v>220</v>
      </c>
      <c r="D31" s="154"/>
      <c r="E31" s="154"/>
      <c r="F31" s="154"/>
      <c r="G31" s="154"/>
      <c r="J31" t="s">
        <v>213</v>
      </c>
      <c r="K31" t="s">
        <v>214</v>
      </c>
      <c r="L31" t="s">
        <v>215</v>
      </c>
    </row>
    <row r="32" spans="1:12">
      <c r="A32" s="220" t="s">
        <v>158</v>
      </c>
      <c r="B32" s="233">
        <f>ROUND(IF(B31&lt;=30,J32,IF(B31&lt;=200,K32,L32)),1)</f>
        <v>0</v>
      </c>
      <c r="C32" s="221" t="s">
        <v>156</v>
      </c>
      <c r="D32" s="201" t="s">
        <v>255</v>
      </c>
      <c r="E32" s="52"/>
      <c r="F32" s="303" t="s">
        <v>265</v>
      </c>
      <c r="G32" s="297" t="str">
        <f>IFERROR(B32/B30,"")</f>
        <v/>
      </c>
      <c r="H32" s="288" t="s">
        <v>266</v>
      </c>
      <c r="J32">
        <f>26*B31^0.36</f>
        <v>0</v>
      </c>
      <c r="K32">
        <f>13*B31^0.56</f>
        <v>0</v>
      </c>
      <c r="L32">
        <f>6.9*B31^0.67</f>
        <v>0</v>
      </c>
    </row>
    <row r="33" spans="1:11" ht="14.25" thickBot="1">
      <c r="A33" s="100" t="s">
        <v>164</v>
      </c>
      <c r="B33" s="215">
        <f>'①設計シート（同時使用率1・２F）'!B33</f>
        <v>0</v>
      </c>
      <c r="C33" s="102" t="s">
        <v>28</v>
      </c>
      <c r="D33" s="294" t="s">
        <v>267</v>
      </c>
      <c r="E33" s="305"/>
      <c r="F33" s="304"/>
      <c r="G33" s="298"/>
      <c r="H33" s="289"/>
    </row>
    <row r="35" spans="1:11" ht="15" thickBot="1">
      <c r="A35" s="129" t="s">
        <v>181</v>
      </c>
    </row>
    <row r="36" spans="1:11">
      <c r="A36" s="103" t="s">
        <v>29</v>
      </c>
      <c r="B36" s="104" t="str">
        <f>IFERROR(I26/1000/60,"")</f>
        <v/>
      </c>
      <c r="C36" s="111" t="s">
        <v>178</v>
      </c>
    </row>
    <row r="37" spans="1:11">
      <c r="A37" s="67" t="s">
        <v>30</v>
      </c>
      <c r="B37" s="59">
        <f>'①設計シート（同時使用率1・２F）'!B37</f>
        <v>2</v>
      </c>
      <c r="C37" s="155" t="s">
        <v>177</v>
      </c>
      <c r="D37" s="276" t="str">
        <f>IF(B37&gt;2,"設定値が上限を超えています。（2.0以下とする)","")</f>
        <v/>
      </c>
      <c r="E37" s="276"/>
      <c r="F37" s="276"/>
      <c r="G37" s="276"/>
    </row>
    <row r="38" spans="1:11" ht="14.25" thickBot="1">
      <c r="A38" s="106" t="s">
        <v>166</v>
      </c>
      <c r="B38" s="107" t="str">
        <f>IFERROR(ROUND((SQRT(4*B36/(PI()*B37))*1000),0),"")</f>
        <v/>
      </c>
      <c r="C38" s="108" t="s">
        <v>31</v>
      </c>
      <c r="D38" s="272" t="s">
        <v>165</v>
      </c>
      <c r="E38" s="273"/>
      <c r="F38" s="166" t="s">
        <v>137</v>
      </c>
      <c r="G38" s="64" t="str">
        <f>IFERROR(VLOOKUP(B38,表!B37:C82,2,FALSE),"")</f>
        <v/>
      </c>
      <c r="H38" s="63" t="s">
        <v>33</v>
      </c>
    </row>
    <row r="39" spans="1:11">
      <c r="F39" s="167"/>
      <c r="I39" s="49"/>
    </row>
    <row r="40" spans="1:11" ht="15" thickBot="1">
      <c r="A40" s="129" t="s">
        <v>182</v>
      </c>
      <c r="B40" s="8"/>
      <c r="F40" s="167"/>
    </row>
    <row r="41" spans="1:11">
      <c r="A41" s="103" t="s">
        <v>29</v>
      </c>
      <c r="B41" s="104">
        <f>IFERROR(B32/1000/60,"")</f>
        <v>0</v>
      </c>
      <c r="C41" s="105" t="s">
        <v>178</v>
      </c>
      <c r="F41" s="167"/>
    </row>
    <row r="42" spans="1:11">
      <c r="A42" s="109" t="s">
        <v>30</v>
      </c>
      <c r="B42" s="216">
        <f>'①設計シート（同時使用率1・２F）'!B42</f>
        <v>2</v>
      </c>
      <c r="C42" s="156" t="s">
        <v>177</v>
      </c>
      <c r="F42" s="167"/>
    </row>
    <row r="43" spans="1:11" ht="14.25" thickBot="1">
      <c r="A43" s="69" t="s">
        <v>169</v>
      </c>
      <c r="B43" s="110">
        <f>IFERROR(ROUND((SQRT(4*B41/(PI()*B42))*1000),0),"")</f>
        <v>0</v>
      </c>
      <c r="C43" s="108" t="s">
        <v>170</v>
      </c>
      <c r="D43" s="272" t="s">
        <v>165</v>
      </c>
      <c r="E43" s="273"/>
      <c r="F43" s="166" t="s">
        <v>138</v>
      </c>
      <c r="G43" s="64" t="str">
        <f>IFERROR(VLOOKUP(B43,表!B37:C107,2,FALSE),"")</f>
        <v/>
      </c>
      <c r="H43" s="63" t="s">
        <v>33</v>
      </c>
    </row>
    <row r="44" spans="1:11">
      <c r="A44" s="55"/>
      <c r="B44" s="55"/>
      <c r="C44" s="25"/>
      <c r="D44" s="8"/>
      <c r="F44" s="167"/>
    </row>
    <row r="45" spans="1:11" ht="15" thickBot="1">
      <c r="A45" s="130" t="s">
        <v>183</v>
      </c>
    </row>
    <row r="46" spans="1:11" ht="13.5" customHeight="1">
      <c r="A46" s="262" t="s">
        <v>55</v>
      </c>
      <c r="B46" s="252" t="s">
        <v>153</v>
      </c>
      <c r="C46" s="264"/>
      <c r="D46" s="206" t="s">
        <v>32</v>
      </c>
      <c r="E46" s="112" t="s">
        <v>45</v>
      </c>
      <c r="F46" s="112" t="s">
        <v>77</v>
      </c>
      <c r="G46" s="112" t="s">
        <v>43</v>
      </c>
      <c r="H46" s="112" t="s">
        <v>152</v>
      </c>
      <c r="I46" s="66" t="s">
        <v>44</v>
      </c>
      <c r="J46" s="245" t="s">
        <v>162</v>
      </c>
      <c r="K46" s="245" t="s">
        <v>161</v>
      </c>
    </row>
    <row r="47" spans="1:11" ht="14.25" thickBot="1">
      <c r="A47" s="263"/>
      <c r="B47" s="254"/>
      <c r="C47" s="265"/>
      <c r="D47" s="207" t="s">
        <v>83</v>
      </c>
      <c r="E47" s="125" t="s">
        <v>156</v>
      </c>
      <c r="F47" s="125" t="s">
        <v>82</v>
      </c>
      <c r="G47" s="125" t="s">
        <v>81</v>
      </c>
      <c r="H47" s="125" t="s">
        <v>85</v>
      </c>
      <c r="I47" s="126" t="s">
        <v>84</v>
      </c>
      <c r="J47" s="245"/>
      <c r="K47" s="245"/>
    </row>
    <row r="48" spans="1:11">
      <c r="A48" s="217" t="str">
        <f>'①設計シート（同時使用率1・２F）'!A48</f>
        <v>Ａ</v>
      </c>
      <c r="B48" s="266" t="s">
        <v>46</v>
      </c>
      <c r="C48" s="267"/>
      <c r="D48" s="121"/>
      <c r="E48" s="122"/>
      <c r="F48" s="30" t="str">
        <f t="shared" ref="F48:F58" si="4">IFERROR((E48/1000/60)/((D48/1000)^2*PI()/4),"  ")</f>
        <v xml:space="preserve">  </v>
      </c>
      <c r="G48" s="30" t="str">
        <f t="shared" ref="G48:G58" si="5">IFERROR(I48/H48*1000," ")</f>
        <v xml:space="preserve"> </v>
      </c>
      <c r="H48" s="218">
        <f>'①設計シート（同時使用率1・２F）'!H48</f>
        <v>0</v>
      </c>
      <c r="I48" s="123" t="str">
        <f>IF(D48&lt;=50,J48,K48)</f>
        <v>　</v>
      </c>
      <c r="J48" t="str">
        <f t="shared" ref="J48:J58" si="6">IFERROR(((0.0126+(0.01739-0.1087*(D48/1000))/SQRT(F48))*H48/(D48/1000)*F48^2/(2*9.8)),"　")</f>
        <v>　</v>
      </c>
      <c r="K48" t="str">
        <f t="shared" ref="K48:K58" si="7">IFERROR(10.666*(140^(-1.85) )*((D48/1000)^(-4.87))*(((E48/1000)/60)^1.85)*H48,"")</f>
        <v/>
      </c>
    </row>
    <row r="49" spans="1:11">
      <c r="A49" s="217" t="str">
        <f>'①設計シート（同時使用率1・２F）'!A49</f>
        <v>Ｂ</v>
      </c>
      <c r="B49" s="268" t="s">
        <v>47</v>
      </c>
      <c r="C49" s="269"/>
      <c r="D49" s="118"/>
      <c r="E49" s="6"/>
      <c r="F49" s="2" t="str">
        <f t="shared" si="4"/>
        <v xml:space="preserve">  </v>
      </c>
      <c r="G49" s="2" t="str">
        <f t="shared" si="5"/>
        <v xml:space="preserve"> </v>
      </c>
      <c r="H49" s="218">
        <f>'①設計シート（同時使用率1・２F）'!H49</f>
        <v>0</v>
      </c>
      <c r="I49" s="114" t="str">
        <f t="shared" ref="I49:I58" si="8">IF(D49&lt;=50,J49,K49)</f>
        <v>　</v>
      </c>
      <c r="J49" t="str">
        <f t="shared" si="6"/>
        <v>　</v>
      </c>
      <c r="K49" t="str">
        <f t="shared" si="7"/>
        <v/>
      </c>
    </row>
    <row r="50" spans="1:11">
      <c r="A50" s="217" t="str">
        <f>'①設計シート（同時使用率1・２F）'!A50</f>
        <v>Ｃ</v>
      </c>
      <c r="B50" s="268" t="s">
        <v>48</v>
      </c>
      <c r="C50" s="269"/>
      <c r="D50" s="118"/>
      <c r="E50" s="6"/>
      <c r="F50" s="2" t="str">
        <f t="shared" si="4"/>
        <v xml:space="preserve">  </v>
      </c>
      <c r="G50" s="2" t="str">
        <f t="shared" si="5"/>
        <v xml:space="preserve"> </v>
      </c>
      <c r="H50" s="218">
        <f>'①設計シート（同時使用率1・２F）'!H50</f>
        <v>0</v>
      </c>
      <c r="I50" s="114" t="str">
        <f t="shared" si="8"/>
        <v>　</v>
      </c>
      <c r="J50" t="str">
        <f t="shared" si="6"/>
        <v>　</v>
      </c>
      <c r="K50" t="str">
        <f t="shared" si="7"/>
        <v/>
      </c>
    </row>
    <row r="51" spans="1:11">
      <c r="A51" s="217" t="str">
        <f>'①設計シート（同時使用率1・２F）'!A51</f>
        <v>Ｄ</v>
      </c>
      <c r="B51" s="268" t="s">
        <v>49</v>
      </c>
      <c r="C51" s="269"/>
      <c r="D51" s="118"/>
      <c r="E51" s="6"/>
      <c r="F51" s="2" t="str">
        <f t="shared" si="4"/>
        <v xml:space="preserve">  </v>
      </c>
      <c r="G51" s="2" t="str">
        <f t="shared" si="5"/>
        <v xml:space="preserve"> </v>
      </c>
      <c r="H51" s="218">
        <f>'①設計シート（同時使用率1・２F）'!H51</f>
        <v>0</v>
      </c>
      <c r="I51" s="114" t="str">
        <f t="shared" si="8"/>
        <v>　</v>
      </c>
      <c r="J51" t="str">
        <f t="shared" si="6"/>
        <v>　</v>
      </c>
      <c r="K51" t="str">
        <f t="shared" si="7"/>
        <v/>
      </c>
    </row>
    <row r="52" spans="1:11">
      <c r="A52" s="217" t="str">
        <f>'①設計シート（同時使用率1・２F）'!A52</f>
        <v>Ｅ</v>
      </c>
      <c r="B52" s="268" t="s">
        <v>50</v>
      </c>
      <c r="C52" s="269"/>
      <c r="D52" s="118"/>
      <c r="E52" s="6"/>
      <c r="F52" s="2" t="str">
        <f t="shared" si="4"/>
        <v xml:space="preserve">  </v>
      </c>
      <c r="G52" s="2" t="str">
        <f t="shared" si="5"/>
        <v xml:space="preserve"> </v>
      </c>
      <c r="H52" s="218">
        <f>'①設計シート（同時使用率1・２F）'!H52</f>
        <v>0</v>
      </c>
      <c r="I52" s="114" t="str">
        <f t="shared" si="8"/>
        <v>　</v>
      </c>
      <c r="J52" t="str">
        <f t="shared" si="6"/>
        <v>　</v>
      </c>
      <c r="K52" t="str">
        <f t="shared" si="7"/>
        <v/>
      </c>
    </row>
    <row r="53" spans="1:11">
      <c r="A53" s="217" t="str">
        <f>'①設計シート（同時使用率1・２F）'!A53</f>
        <v>Ｆ</v>
      </c>
      <c r="B53" s="268" t="s">
        <v>51</v>
      </c>
      <c r="C53" s="269"/>
      <c r="D53" s="118"/>
      <c r="E53" s="6"/>
      <c r="F53" s="2" t="str">
        <f t="shared" si="4"/>
        <v xml:space="preserve">  </v>
      </c>
      <c r="G53" s="2" t="str">
        <f t="shared" si="5"/>
        <v xml:space="preserve"> </v>
      </c>
      <c r="H53" s="218">
        <f>'①設計シート（同時使用率1・２F）'!H53</f>
        <v>0</v>
      </c>
      <c r="I53" s="114" t="str">
        <f t="shared" si="8"/>
        <v>　</v>
      </c>
      <c r="J53" t="str">
        <f t="shared" si="6"/>
        <v>　</v>
      </c>
      <c r="K53" t="str">
        <f t="shared" si="7"/>
        <v/>
      </c>
    </row>
    <row r="54" spans="1:11">
      <c r="A54" s="217" t="str">
        <f>'①設計シート（同時使用率1・２F）'!A54</f>
        <v>Ｇ</v>
      </c>
      <c r="B54" s="268" t="s">
        <v>52</v>
      </c>
      <c r="C54" s="269"/>
      <c r="D54" s="118"/>
      <c r="E54" s="6"/>
      <c r="F54" s="2" t="str">
        <f t="shared" si="4"/>
        <v xml:space="preserve">  </v>
      </c>
      <c r="G54" s="2" t="str">
        <f t="shared" si="5"/>
        <v xml:space="preserve"> </v>
      </c>
      <c r="H54" s="218">
        <f>'①設計シート（同時使用率1・２F）'!H54</f>
        <v>0</v>
      </c>
      <c r="I54" s="114" t="str">
        <f t="shared" si="8"/>
        <v>　</v>
      </c>
      <c r="J54" t="str">
        <f t="shared" si="6"/>
        <v>　</v>
      </c>
      <c r="K54" t="str">
        <f t="shared" si="7"/>
        <v/>
      </c>
    </row>
    <row r="55" spans="1:11">
      <c r="A55" s="217" t="str">
        <f>'①設計シート（同時使用率1・２F）'!A55</f>
        <v>Ｈ</v>
      </c>
      <c r="B55" s="268" t="s">
        <v>53</v>
      </c>
      <c r="C55" s="269"/>
      <c r="D55" s="118"/>
      <c r="E55" s="6"/>
      <c r="F55" s="2" t="str">
        <f t="shared" si="4"/>
        <v xml:space="preserve">  </v>
      </c>
      <c r="G55" s="2" t="str">
        <f t="shared" si="5"/>
        <v xml:space="preserve"> </v>
      </c>
      <c r="H55" s="218">
        <f>'①設計シート（同時使用率1・２F）'!H55</f>
        <v>0</v>
      </c>
      <c r="I55" s="114" t="str">
        <f t="shared" si="8"/>
        <v>　</v>
      </c>
      <c r="J55" t="str">
        <f t="shared" si="6"/>
        <v>　</v>
      </c>
      <c r="K55" t="str">
        <f t="shared" si="7"/>
        <v/>
      </c>
    </row>
    <row r="56" spans="1:11">
      <c r="A56" s="217" t="str">
        <f>'①設計シート（同時使用率1・２F）'!A56</f>
        <v>Ｉ</v>
      </c>
      <c r="B56" s="268" t="s">
        <v>54</v>
      </c>
      <c r="C56" s="269"/>
      <c r="D56" s="118"/>
      <c r="E56" s="6"/>
      <c r="F56" s="2" t="str">
        <f t="shared" si="4"/>
        <v xml:space="preserve">  </v>
      </c>
      <c r="G56" s="2" t="str">
        <f t="shared" si="5"/>
        <v xml:space="preserve"> </v>
      </c>
      <c r="H56" s="218">
        <f>'①設計シート（同時使用率1・２F）'!H56</f>
        <v>0</v>
      </c>
      <c r="I56" s="114" t="str">
        <f t="shared" si="8"/>
        <v>　</v>
      </c>
      <c r="J56" t="str">
        <f t="shared" si="6"/>
        <v>　</v>
      </c>
      <c r="K56" t="str">
        <f t="shared" si="7"/>
        <v/>
      </c>
    </row>
    <row r="57" spans="1:11">
      <c r="A57" s="217" t="str">
        <f>'①設計シート（同時使用率1・２F）'!A57</f>
        <v>J</v>
      </c>
      <c r="B57" s="258" t="s">
        <v>175</v>
      </c>
      <c r="C57" s="259"/>
      <c r="D57" s="121"/>
      <c r="E57" s="122"/>
      <c r="F57" s="30" t="str">
        <f t="shared" si="4"/>
        <v xml:space="preserve">  </v>
      </c>
      <c r="G57" s="30" t="str">
        <f t="shared" si="5"/>
        <v xml:space="preserve"> </v>
      </c>
      <c r="H57" s="218">
        <f>'①設計シート（同時使用率1・２F）'!H57</f>
        <v>0</v>
      </c>
      <c r="I57" s="123" t="str">
        <f>IF(D57&lt;=50,J57,K57)</f>
        <v>　</v>
      </c>
      <c r="J57" t="str">
        <f t="shared" si="6"/>
        <v>　</v>
      </c>
      <c r="K57" t="str">
        <f t="shared" si="7"/>
        <v/>
      </c>
    </row>
    <row r="58" spans="1:11" ht="14.25" thickBot="1">
      <c r="A58" s="219" t="str">
        <f>'①設計シート（同時使用率1・２F）'!A58</f>
        <v>K</v>
      </c>
      <c r="B58" s="260" t="s">
        <v>176</v>
      </c>
      <c r="C58" s="261"/>
      <c r="D58" s="118"/>
      <c r="E58" s="6"/>
      <c r="F58" s="26" t="str">
        <f t="shared" si="4"/>
        <v xml:space="preserve">  </v>
      </c>
      <c r="G58" s="26" t="str">
        <f t="shared" si="5"/>
        <v xml:space="preserve"> </v>
      </c>
      <c r="H58" s="218">
        <f>'①設計シート（同時使用率1・２F）'!H58</f>
        <v>0</v>
      </c>
      <c r="I58" s="114" t="str">
        <f t="shared" si="8"/>
        <v>　</v>
      </c>
      <c r="J58" t="str">
        <f t="shared" si="6"/>
        <v>　</v>
      </c>
      <c r="K58" t="str">
        <f t="shared" si="7"/>
        <v/>
      </c>
    </row>
    <row r="59" spans="1:11" ht="14.25" thickBot="1">
      <c r="A59" s="248" t="s">
        <v>57</v>
      </c>
      <c r="B59" s="249"/>
      <c r="C59" s="249"/>
      <c r="D59" s="250"/>
      <c r="E59" s="250"/>
      <c r="F59" s="250"/>
      <c r="G59" s="250"/>
      <c r="H59" s="251"/>
      <c r="I59" s="116" t="str">
        <f>IF(SUM(I48:I58),SUM(I48:I58)," ")</f>
        <v xml:space="preserve"> </v>
      </c>
      <c r="K59" t="str">
        <f>IFERROR(10.666*140^(-1.85) *(D59/1000)^(-4.87)*E59^1.85*H59,"")</f>
        <v/>
      </c>
    </row>
    <row r="60" spans="1:11">
      <c r="A60" s="8"/>
    </row>
    <row r="61" spans="1:11" ht="15" thickBot="1">
      <c r="A61" s="131" t="s">
        <v>184</v>
      </c>
      <c r="C61" s="192" t="s">
        <v>258</v>
      </c>
    </row>
    <row r="62" spans="1:11">
      <c r="A62" s="262" t="s">
        <v>55</v>
      </c>
      <c r="B62" s="252" t="s">
        <v>75</v>
      </c>
      <c r="C62" s="253"/>
      <c r="D62" s="112" t="s">
        <v>126</v>
      </c>
      <c r="E62" s="112" t="s">
        <v>45</v>
      </c>
      <c r="F62" s="112" t="s">
        <v>77</v>
      </c>
      <c r="G62" s="112" t="s">
        <v>43</v>
      </c>
      <c r="H62" s="112" t="s">
        <v>66</v>
      </c>
      <c r="I62" s="66" t="s">
        <v>44</v>
      </c>
    </row>
    <row r="63" spans="1:11" ht="14.25" thickBot="1">
      <c r="A63" s="263"/>
      <c r="B63" s="254"/>
      <c r="C63" s="255"/>
      <c r="D63" s="125" t="s">
        <v>83</v>
      </c>
      <c r="E63" s="125" t="s">
        <v>156</v>
      </c>
      <c r="F63" s="125" t="s">
        <v>82</v>
      </c>
      <c r="G63" s="125" t="s">
        <v>81</v>
      </c>
      <c r="H63" s="125" t="s">
        <v>85</v>
      </c>
      <c r="I63" s="126" t="s">
        <v>84</v>
      </c>
    </row>
    <row r="64" spans="1:11">
      <c r="A64" s="217">
        <f>'①設計シート（同時使用率1・２F）'!A64</f>
        <v>0</v>
      </c>
      <c r="B64" s="299">
        <f>'①設計シート（同時使用率1・２F）'!B64:C64</f>
        <v>0</v>
      </c>
      <c r="C64" s="300"/>
      <c r="D64" s="41"/>
      <c r="E64" s="41"/>
      <c r="F64" s="30" t="str">
        <f t="shared" ref="F64:F85" si="9">IFERROR((E64/1000/60)/((D64/1000)^2*PI()/4),"")</f>
        <v/>
      </c>
      <c r="G64" s="30" t="str">
        <f t="shared" ref="G64:G84" si="10">IFERROR(I64/H64*1000," ")</f>
        <v xml:space="preserve"> </v>
      </c>
      <c r="H64" s="218" t="str">
        <f>'①設計シート（同時使用率1・２F）'!H64</f>
        <v/>
      </c>
      <c r="I64" s="123" t="str">
        <f>IF(D64&lt;=50,J64,K64)</f>
        <v>　</v>
      </c>
      <c r="J64" t="str">
        <f>IFERROR(((0.0126+(0.01739-0.1087*(D64/1000))/SQRT(F64))*H64/(D64/1000)*F64^2/(2*9.8)),"　")</f>
        <v>　</v>
      </c>
      <c r="K64" t="str">
        <f>IFERROR(10.666*(140^(-1.85) )*((D64/1000)^(-4.87))*(((E64/1000)/60)^1.85)*H64,"")</f>
        <v/>
      </c>
    </row>
    <row r="65" spans="1:11">
      <c r="A65" s="217">
        <f>'①設計シート（同時使用率1・２F）'!A65</f>
        <v>0</v>
      </c>
      <c r="B65" s="299">
        <f>'①設計シート（同時使用率1・２F）'!B65:C65</f>
        <v>0</v>
      </c>
      <c r="C65" s="300"/>
      <c r="D65" s="4"/>
      <c r="E65" s="4"/>
      <c r="F65" s="2" t="str">
        <f t="shared" si="9"/>
        <v/>
      </c>
      <c r="G65" s="2" t="str">
        <f t="shared" si="10"/>
        <v xml:space="preserve"> </v>
      </c>
      <c r="H65" s="218" t="str">
        <f>'①設計シート（同時使用率1・２F）'!H65</f>
        <v/>
      </c>
      <c r="I65" s="123" t="str">
        <f t="shared" ref="I65:I84" si="11">IF(D65&lt;=50,J65,K65)</f>
        <v>　</v>
      </c>
      <c r="J65" t="str">
        <f t="shared" ref="J65:J84" si="12">IFERROR(((0.0126+(0.01739-0.1087*(D65/1000))/SQRT(F65))*H65/(D65/1000)*F65^2/(2*9.8)),"　")</f>
        <v>　</v>
      </c>
      <c r="K65" t="str">
        <f t="shared" ref="K65:K84" si="13">IFERROR(10.666*(140^(-1.85) )*((D65/1000)^(-4.87))*(((E65/1000)/60)^1.85)*H65,"")</f>
        <v/>
      </c>
    </row>
    <row r="66" spans="1:11">
      <c r="A66" s="217">
        <f>'①設計シート（同時使用率1・２F）'!A66</f>
        <v>0</v>
      </c>
      <c r="B66" s="299">
        <f>'①設計シート（同時使用率1・２F）'!B66:C66</f>
        <v>0</v>
      </c>
      <c r="C66" s="300"/>
      <c r="D66" s="4"/>
      <c r="E66" s="4"/>
      <c r="F66" s="2" t="str">
        <f t="shared" si="9"/>
        <v/>
      </c>
      <c r="G66" s="2" t="str">
        <f t="shared" si="10"/>
        <v xml:space="preserve"> </v>
      </c>
      <c r="H66" s="218" t="str">
        <f>'①設計シート（同時使用率1・２F）'!H66</f>
        <v/>
      </c>
      <c r="I66" s="123" t="str">
        <f t="shared" si="11"/>
        <v>　</v>
      </c>
      <c r="J66" t="str">
        <f t="shared" si="12"/>
        <v>　</v>
      </c>
      <c r="K66" t="str">
        <f t="shared" si="13"/>
        <v/>
      </c>
    </row>
    <row r="67" spans="1:11">
      <c r="A67" s="217">
        <f>'①設計シート（同時使用率1・２F）'!A67</f>
        <v>0</v>
      </c>
      <c r="B67" s="299">
        <f>'①設計シート（同時使用率1・２F）'!B67:C67</f>
        <v>0</v>
      </c>
      <c r="C67" s="300"/>
      <c r="D67" s="4"/>
      <c r="E67" s="4"/>
      <c r="F67" s="2" t="str">
        <f t="shared" si="9"/>
        <v/>
      </c>
      <c r="G67" s="2" t="str">
        <f t="shared" si="10"/>
        <v xml:space="preserve"> </v>
      </c>
      <c r="H67" s="218" t="str">
        <f>'①設計シート（同時使用率1・２F）'!H67</f>
        <v/>
      </c>
      <c r="I67" s="123" t="str">
        <f t="shared" si="11"/>
        <v>　</v>
      </c>
      <c r="J67" t="str">
        <f t="shared" si="12"/>
        <v>　</v>
      </c>
      <c r="K67" t="str">
        <f t="shared" si="13"/>
        <v/>
      </c>
    </row>
    <row r="68" spans="1:11">
      <c r="A68" s="217">
        <f>'①設計シート（同時使用率1・２F）'!A68</f>
        <v>0</v>
      </c>
      <c r="B68" s="299">
        <f>'①設計シート（同時使用率1・２F）'!B68:C68</f>
        <v>0</v>
      </c>
      <c r="C68" s="300"/>
      <c r="D68" s="4"/>
      <c r="E68" s="4"/>
      <c r="F68" s="2" t="str">
        <f t="shared" si="9"/>
        <v/>
      </c>
      <c r="G68" s="2" t="str">
        <f t="shared" si="10"/>
        <v xml:space="preserve"> </v>
      </c>
      <c r="H68" s="218" t="str">
        <f>'①設計シート（同時使用率1・２F）'!H68</f>
        <v/>
      </c>
      <c r="I68" s="123" t="str">
        <f t="shared" si="11"/>
        <v>　</v>
      </c>
      <c r="J68" t="str">
        <f t="shared" si="12"/>
        <v>　</v>
      </c>
      <c r="K68" t="str">
        <f t="shared" si="13"/>
        <v/>
      </c>
    </row>
    <row r="69" spans="1:11">
      <c r="A69" s="217">
        <f>'①設計シート（同時使用率1・２F）'!A69</f>
        <v>0</v>
      </c>
      <c r="B69" s="299">
        <f>'①設計シート（同時使用率1・２F）'!B69:C69</f>
        <v>0</v>
      </c>
      <c r="C69" s="300"/>
      <c r="D69" s="4"/>
      <c r="E69" s="4"/>
      <c r="F69" s="2" t="str">
        <f t="shared" si="9"/>
        <v/>
      </c>
      <c r="G69" s="2" t="str">
        <f t="shared" si="10"/>
        <v xml:space="preserve"> </v>
      </c>
      <c r="H69" s="218" t="str">
        <f>'①設計シート（同時使用率1・２F）'!H69</f>
        <v/>
      </c>
      <c r="I69" s="123" t="str">
        <f t="shared" si="11"/>
        <v>　</v>
      </c>
      <c r="J69" t="str">
        <f t="shared" si="12"/>
        <v>　</v>
      </c>
      <c r="K69" t="str">
        <f t="shared" si="13"/>
        <v/>
      </c>
    </row>
    <row r="70" spans="1:11">
      <c r="A70" s="217">
        <f>'①設計シート（同時使用率1・２F）'!A70</f>
        <v>0</v>
      </c>
      <c r="B70" s="299">
        <f>'①設計シート（同時使用率1・２F）'!B70:C70</f>
        <v>0</v>
      </c>
      <c r="C70" s="300"/>
      <c r="D70" s="4"/>
      <c r="E70" s="4"/>
      <c r="F70" s="2" t="str">
        <f t="shared" si="9"/>
        <v/>
      </c>
      <c r="G70" s="2" t="str">
        <f t="shared" si="10"/>
        <v xml:space="preserve"> </v>
      </c>
      <c r="H70" s="218" t="str">
        <f>'①設計シート（同時使用率1・２F）'!H70</f>
        <v/>
      </c>
      <c r="I70" s="123" t="str">
        <f t="shared" si="11"/>
        <v>　</v>
      </c>
      <c r="J70" t="str">
        <f t="shared" si="12"/>
        <v>　</v>
      </c>
      <c r="K70" t="str">
        <f t="shared" si="13"/>
        <v/>
      </c>
    </row>
    <row r="71" spans="1:11">
      <c r="A71" s="217">
        <f>'①設計シート（同時使用率1・２F）'!A71</f>
        <v>0</v>
      </c>
      <c r="B71" s="299">
        <f>'①設計シート（同時使用率1・２F）'!B71:C71</f>
        <v>0</v>
      </c>
      <c r="C71" s="300"/>
      <c r="D71" s="4"/>
      <c r="E71" s="4"/>
      <c r="F71" s="2" t="str">
        <f t="shared" si="9"/>
        <v/>
      </c>
      <c r="G71" s="2" t="str">
        <f t="shared" si="10"/>
        <v xml:space="preserve"> </v>
      </c>
      <c r="H71" s="218" t="str">
        <f>'①設計シート（同時使用率1・２F）'!H71</f>
        <v/>
      </c>
      <c r="I71" s="123" t="str">
        <f t="shared" si="11"/>
        <v>　</v>
      </c>
      <c r="J71" t="str">
        <f t="shared" si="12"/>
        <v>　</v>
      </c>
      <c r="K71" t="str">
        <f t="shared" si="13"/>
        <v/>
      </c>
    </row>
    <row r="72" spans="1:11">
      <c r="A72" s="217">
        <f>'①設計シート（同時使用率1・２F）'!A72</f>
        <v>0</v>
      </c>
      <c r="B72" s="299">
        <f>'①設計シート（同時使用率1・２F）'!B72:C72</f>
        <v>0</v>
      </c>
      <c r="C72" s="300"/>
      <c r="D72" s="4"/>
      <c r="E72" s="4"/>
      <c r="F72" s="2" t="str">
        <f t="shared" si="9"/>
        <v/>
      </c>
      <c r="G72" s="2" t="str">
        <f t="shared" si="10"/>
        <v xml:space="preserve"> </v>
      </c>
      <c r="H72" s="218" t="str">
        <f>'①設計シート（同時使用率1・２F）'!H72</f>
        <v/>
      </c>
      <c r="I72" s="123" t="str">
        <f t="shared" si="11"/>
        <v>　</v>
      </c>
      <c r="J72" t="str">
        <f t="shared" si="12"/>
        <v>　</v>
      </c>
      <c r="K72" t="str">
        <f t="shared" si="13"/>
        <v/>
      </c>
    </row>
    <row r="73" spans="1:11">
      <c r="A73" s="217">
        <f>'①設計シート（同時使用率1・２F）'!A73</f>
        <v>0</v>
      </c>
      <c r="B73" s="299">
        <f>'①設計シート（同時使用率1・２F）'!B73:C73</f>
        <v>0</v>
      </c>
      <c r="C73" s="300"/>
      <c r="D73" s="4"/>
      <c r="E73" s="4"/>
      <c r="F73" s="2" t="str">
        <f t="shared" si="9"/>
        <v/>
      </c>
      <c r="G73" s="2" t="str">
        <f t="shared" si="10"/>
        <v xml:space="preserve"> </v>
      </c>
      <c r="H73" s="218" t="str">
        <f>'①設計シート（同時使用率1・２F）'!H73</f>
        <v/>
      </c>
      <c r="I73" s="123" t="str">
        <f t="shared" si="11"/>
        <v>　</v>
      </c>
      <c r="J73" t="str">
        <f t="shared" si="12"/>
        <v>　</v>
      </c>
      <c r="K73" t="str">
        <f t="shared" si="13"/>
        <v/>
      </c>
    </row>
    <row r="74" spans="1:11">
      <c r="A74" s="217">
        <f>'①設計シート（同時使用率1・２F）'!A74</f>
        <v>0</v>
      </c>
      <c r="B74" s="299">
        <f>'①設計シート（同時使用率1・２F）'!B74:C74</f>
        <v>0</v>
      </c>
      <c r="C74" s="300"/>
      <c r="D74" s="4"/>
      <c r="E74" s="4"/>
      <c r="F74" s="2" t="str">
        <f t="shared" si="9"/>
        <v/>
      </c>
      <c r="G74" s="2" t="str">
        <f t="shared" si="10"/>
        <v xml:space="preserve"> </v>
      </c>
      <c r="H74" s="218" t="str">
        <f>'①設計シート（同時使用率1・２F）'!H74</f>
        <v/>
      </c>
      <c r="I74" s="123" t="str">
        <f t="shared" si="11"/>
        <v>　</v>
      </c>
      <c r="J74" t="str">
        <f t="shared" si="12"/>
        <v>　</v>
      </c>
      <c r="K74" t="str">
        <f t="shared" si="13"/>
        <v/>
      </c>
    </row>
    <row r="75" spans="1:11">
      <c r="A75" s="217">
        <f>'①設計シート（同時使用率1・２F）'!A75</f>
        <v>0</v>
      </c>
      <c r="B75" s="299">
        <f>'①設計シート（同時使用率1・２F）'!B75:C75</f>
        <v>0</v>
      </c>
      <c r="C75" s="300"/>
      <c r="D75" s="4"/>
      <c r="E75" s="4"/>
      <c r="F75" s="26" t="str">
        <f t="shared" si="9"/>
        <v/>
      </c>
      <c r="G75" s="26" t="str">
        <f t="shared" si="10"/>
        <v xml:space="preserve"> </v>
      </c>
      <c r="H75" s="218" t="str">
        <f>'①設計シート（同時使用率1・２F）'!H75</f>
        <v/>
      </c>
      <c r="I75" s="123" t="str">
        <f t="shared" si="11"/>
        <v>　</v>
      </c>
      <c r="J75" t="str">
        <f t="shared" si="12"/>
        <v>　</v>
      </c>
      <c r="K75" t="str">
        <f t="shared" si="13"/>
        <v/>
      </c>
    </row>
    <row r="76" spans="1:11">
      <c r="A76" s="217">
        <f>'①設計シート（同時使用率1・２F）'!A76</f>
        <v>0</v>
      </c>
      <c r="B76" s="299">
        <f>'①設計シート（同時使用率1・２F）'!B76:C76</f>
        <v>0</v>
      </c>
      <c r="C76" s="300"/>
      <c r="D76" s="29"/>
      <c r="E76" s="28"/>
      <c r="F76" s="2" t="str">
        <f t="shared" si="9"/>
        <v/>
      </c>
      <c r="G76" s="2" t="str">
        <f t="shared" si="10"/>
        <v xml:space="preserve"> </v>
      </c>
      <c r="H76" s="218" t="str">
        <f>'①設計シート（同時使用率1・２F）'!H76</f>
        <v/>
      </c>
      <c r="I76" s="123" t="str">
        <f t="shared" si="11"/>
        <v>　</v>
      </c>
      <c r="J76" t="str">
        <f t="shared" si="12"/>
        <v>　</v>
      </c>
      <c r="K76" t="str">
        <f t="shared" si="13"/>
        <v/>
      </c>
    </row>
    <row r="77" spans="1:11">
      <c r="A77" s="217">
        <f>'①設計シート（同時使用率1・２F）'!A77</f>
        <v>0</v>
      </c>
      <c r="B77" s="299">
        <f>'①設計シート（同時使用率1・２F）'!B77:C77</f>
        <v>0</v>
      </c>
      <c r="C77" s="300"/>
      <c r="D77" s="4"/>
      <c r="E77" s="4"/>
      <c r="F77" s="2" t="str">
        <f t="shared" si="9"/>
        <v/>
      </c>
      <c r="G77" s="2" t="str">
        <f t="shared" si="10"/>
        <v xml:space="preserve"> </v>
      </c>
      <c r="H77" s="218" t="str">
        <f>'①設計シート（同時使用率1・２F）'!H77</f>
        <v/>
      </c>
      <c r="I77" s="123" t="str">
        <f t="shared" si="11"/>
        <v>　</v>
      </c>
      <c r="J77" t="str">
        <f t="shared" si="12"/>
        <v>　</v>
      </c>
      <c r="K77" t="str">
        <f t="shared" si="13"/>
        <v/>
      </c>
    </row>
    <row r="78" spans="1:11">
      <c r="A78" s="217">
        <f>'①設計シート（同時使用率1・２F）'!A78</f>
        <v>0</v>
      </c>
      <c r="B78" s="299">
        <f>'①設計シート（同時使用率1・２F）'!B78:C78</f>
        <v>0</v>
      </c>
      <c r="C78" s="300"/>
      <c r="D78" s="42"/>
      <c r="E78" s="4"/>
      <c r="F78" s="2" t="str">
        <f t="shared" si="9"/>
        <v/>
      </c>
      <c r="G78" s="2" t="str">
        <f t="shared" si="10"/>
        <v xml:space="preserve"> </v>
      </c>
      <c r="H78" s="218" t="str">
        <f>'①設計シート（同時使用率1・２F）'!H78</f>
        <v/>
      </c>
      <c r="I78" s="123" t="str">
        <f t="shared" si="11"/>
        <v>　</v>
      </c>
      <c r="J78" t="str">
        <f t="shared" si="12"/>
        <v>　</v>
      </c>
      <c r="K78" t="str">
        <f t="shared" si="13"/>
        <v/>
      </c>
    </row>
    <row r="79" spans="1:11">
      <c r="A79" s="217">
        <f>'①設計シート（同時使用率1・２F）'!A79</f>
        <v>0</v>
      </c>
      <c r="B79" s="299">
        <f>'①設計シート（同時使用率1・２F）'!B79:C79</f>
        <v>0</v>
      </c>
      <c r="C79" s="300"/>
      <c r="D79" s="42"/>
      <c r="E79" s="4"/>
      <c r="F79" s="2" t="str">
        <f t="shared" si="9"/>
        <v/>
      </c>
      <c r="G79" s="2" t="str">
        <f t="shared" si="10"/>
        <v xml:space="preserve"> </v>
      </c>
      <c r="H79" s="218" t="str">
        <f>'①設計シート（同時使用率1・２F）'!H79</f>
        <v/>
      </c>
      <c r="I79" s="123" t="str">
        <f t="shared" si="11"/>
        <v>　</v>
      </c>
      <c r="J79" t="str">
        <f t="shared" si="12"/>
        <v>　</v>
      </c>
      <c r="K79" t="str">
        <f t="shared" si="13"/>
        <v/>
      </c>
    </row>
    <row r="80" spans="1:11">
      <c r="A80" s="217">
        <f>'①設計シート（同時使用率1・２F）'!A80</f>
        <v>0</v>
      </c>
      <c r="B80" s="299">
        <f>'①設計シート（同時使用率1・２F）'!B80:C80</f>
        <v>0</v>
      </c>
      <c r="C80" s="300"/>
      <c r="D80" s="42"/>
      <c r="E80" s="4"/>
      <c r="F80" s="2" t="str">
        <f t="shared" si="9"/>
        <v/>
      </c>
      <c r="G80" s="2" t="str">
        <f t="shared" si="10"/>
        <v xml:space="preserve"> </v>
      </c>
      <c r="H80" s="218" t="str">
        <f>'①設計シート（同時使用率1・２F）'!H80</f>
        <v/>
      </c>
      <c r="I80" s="123" t="str">
        <f t="shared" si="11"/>
        <v>　</v>
      </c>
      <c r="J80" t="str">
        <f t="shared" si="12"/>
        <v>　</v>
      </c>
      <c r="K80" t="str">
        <f t="shared" si="13"/>
        <v/>
      </c>
    </row>
    <row r="81" spans="1:11">
      <c r="A81" s="217">
        <f>'①設計シート（同時使用率1・２F）'!A81</f>
        <v>0</v>
      </c>
      <c r="B81" s="299">
        <f>'①設計シート（同時使用率1・２F）'!B81:C81</f>
        <v>0</v>
      </c>
      <c r="C81" s="300"/>
      <c r="D81" s="42"/>
      <c r="E81" s="4"/>
      <c r="F81" s="2" t="str">
        <f t="shared" si="9"/>
        <v/>
      </c>
      <c r="G81" s="2" t="str">
        <f t="shared" si="10"/>
        <v xml:space="preserve"> </v>
      </c>
      <c r="H81" s="218" t="str">
        <f>'①設計シート（同時使用率1・２F）'!H81</f>
        <v/>
      </c>
      <c r="I81" s="123" t="str">
        <f t="shared" si="11"/>
        <v>　</v>
      </c>
      <c r="J81" t="str">
        <f t="shared" si="12"/>
        <v>　</v>
      </c>
      <c r="K81" t="str">
        <f t="shared" si="13"/>
        <v/>
      </c>
    </row>
    <row r="82" spans="1:11">
      <c r="A82" s="217">
        <f>'①設計シート（同時使用率1・２F）'!A82</f>
        <v>0</v>
      </c>
      <c r="B82" s="299">
        <f>'①設計シート（同時使用率1・２F）'!B82:C82</f>
        <v>0</v>
      </c>
      <c r="C82" s="300"/>
      <c r="D82" s="42"/>
      <c r="E82" s="4"/>
      <c r="F82" s="2" t="str">
        <f t="shared" si="9"/>
        <v/>
      </c>
      <c r="G82" s="2" t="str">
        <f t="shared" si="10"/>
        <v xml:space="preserve"> </v>
      </c>
      <c r="H82" s="218" t="str">
        <f>'①設計シート（同時使用率1・２F）'!H82</f>
        <v/>
      </c>
      <c r="I82" s="123" t="str">
        <f t="shared" si="11"/>
        <v>　</v>
      </c>
      <c r="J82" t="str">
        <f t="shared" si="12"/>
        <v>　</v>
      </c>
      <c r="K82" t="str">
        <f t="shared" si="13"/>
        <v/>
      </c>
    </row>
    <row r="83" spans="1:11">
      <c r="A83" s="217">
        <f>'①設計シート（同時使用率1・２F）'!A83</f>
        <v>0</v>
      </c>
      <c r="B83" s="299">
        <f>'①設計シート（同時使用率1・２F）'!B83:C83</f>
        <v>0</v>
      </c>
      <c r="C83" s="300"/>
      <c r="D83" s="42"/>
      <c r="E83" s="4"/>
      <c r="F83" s="2" t="str">
        <f t="shared" si="9"/>
        <v/>
      </c>
      <c r="G83" s="2" t="str">
        <f t="shared" si="10"/>
        <v xml:space="preserve"> </v>
      </c>
      <c r="H83" s="218" t="str">
        <f>'①設計シート（同時使用率1・２F）'!H83</f>
        <v/>
      </c>
      <c r="I83" s="123" t="str">
        <f t="shared" si="11"/>
        <v>　</v>
      </c>
      <c r="J83" t="str">
        <f t="shared" si="12"/>
        <v>　</v>
      </c>
      <c r="K83" t="str">
        <f t="shared" si="13"/>
        <v/>
      </c>
    </row>
    <row r="84" spans="1:11">
      <c r="A84" s="217">
        <f>'①設計シート（同時使用率1・２F）'!A84</f>
        <v>0</v>
      </c>
      <c r="B84" s="299">
        <f>'①設計シート（同時使用率1・２F）'!B84:C84</f>
        <v>0</v>
      </c>
      <c r="C84" s="300"/>
      <c r="D84" s="42"/>
      <c r="E84" s="4"/>
      <c r="F84" s="2" t="str">
        <f t="shared" si="9"/>
        <v/>
      </c>
      <c r="G84" s="2" t="str">
        <f t="shared" si="10"/>
        <v xml:space="preserve"> </v>
      </c>
      <c r="H84" s="59" t="str">
        <f>'①設計シート（同時使用率1・２F）'!H84</f>
        <v/>
      </c>
      <c r="I84" s="59" t="str">
        <f t="shared" si="11"/>
        <v>　</v>
      </c>
      <c r="J84" t="str">
        <f t="shared" si="12"/>
        <v>　</v>
      </c>
      <c r="K84" t="str">
        <f t="shared" si="13"/>
        <v/>
      </c>
    </row>
    <row r="85" spans="1:11">
      <c r="A85" s="67"/>
      <c r="B85" s="2" t="s">
        <v>86</v>
      </c>
      <c r="C85" s="2"/>
      <c r="D85" s="41"/>
      <c r="E85" s="30"/>
      <c r="F85" s="30" t="str">
        <f t="shared" si="9"/>
        <v/>
      </c>
      <c r="G85" s="30"/>
      <c r="H85" s="242" t="str">
        <f>'①設計シート（同時使用率1・２F）'!H85</f>
        <v/>
      </c>
      <c r="I85" s="123" t="str">
        <f>IF(D85&gt;0,1,"")</f>
        <v/>
      </c>
    </row>
    <row r="86" spans="1:11">
      <c r="A86" s="67"/>
      <c r="B86" s="2" t="s">
        <v>76</v>
      </c>
      <c r="C86" s="2"/>
      <c r="D86" s="3"/>
      <c r="E86" s="2"/>
      <c r="F86" s="2"/>
      <c r="G86" s="50"/>
      <c r="H86" s="51"/>
      <c r="I86" s="114">
        <f>'①設計シート（同時使用率1・２F）'!I86</f>
        <v>0</v>
      </c>
      <c r="J86" s="18" t="str">
        <f>IF(I86&gt;10,"エラー　制限高超え","")</f>
        <v/>
      </c>
    </row>
    <row r="87" spans="1:11">
      <c r="A87" s="67"/>
      <c r="B87" s="14" t="s">
        <v>186</v>
      </c>
      <c r="C87" s="16"/>
      <c r="D87" s="15"/>
      <c r="E87" s="16"/>
      <c r="F87" s="16"/>
      <c r="G87" s="16"/>
      <c r="H87" s="17"/>
      <c r="I87" s="114">
        <f>'①設計シート（同時使用率1・２F）'!I87</f>
        <v>0</v>
      </c>
      <c r="J87" s="8"/>
      <c r="K87" s="8"/>
    </row>
    <row r="88" spans="1:11" ht="14.25" thickBot="1">
      <c r="A88" s="72"/>
      <c r="B88" s="135" t="s">
        <v>125</v>
      </c>
      <c r="C88" s="136"/>
      <c r="D88" s="136"/>
      <c r="E88" s="136"/>
      <c r="F88" s="136"/>
      <c r="G88" s="136"/>
      <c r="H88" s="137"/>
      <c r="I88" s="116" t="str">
        <f>IF(SUM(I64:I87),SUM(I64:I87)," ")</f>
        <v xml:space="preserve"> </v>
      </c>
    </row>
    <row r="90" spans="1:11">
      <c r="A90" s="63" t="s">
        <v>203</v>
      </c>
    </row>
    <row r="91" spans="1:11">
      <c r="A91" t="s">
        <v>67</v>
      </c>
      <c r="C91" s="59" t="str">
        <f>I59</f>
        <v xml:space="preserve"> </v>
      </c>
      <c r="D91" s="8" t="s">
        <v>174</v>
      </c>
    </row>
    <row r="92" spans="1:11">
      <c r="A92" t="s">
        <v>68</v>
      </c>
      <c r="C92" s="59" t="str">
        <f>I88</f>
        <v xml:space="preserve"> </v>
      </c>
      <c r="D92" s="8" t="s">
        <v>174</v>
      </c>
    </row>
    <row r="93" spans="1:11">
      <c r="A93" t="s">
        <v>69</v>
      </c>
      <c r="C93" s="59" t="str">
        <f>IFERROR(C91+C92,"")</f>
        <v/>
      </c>
      <c r="D93" t="s">
        <v>72</v>
      </c>
    </row>
    <row r="94" spans="1:11">
      <c r="A94" t="s">
        <v>73</v>
      </c>
      <c r="C94" s="59" t="str">
        <f>IFERROR(ROUND(C93*0.0098,3),"")</f>
        <v/>
      </c>
      <c r="D94" t="s">
        <v>74</v>
      </c>
      <c r="J94" s="8"/>
    </row>
    <row r="95" spans="1:11">
      <c r="C95" s="15"/>
      <c r="D95" s="8"/>
      <c r="J95" s="8"/>
    </row>
    <row r="96" spans="1:11" ht="20.100000000000001" customHeight="1">
      <c r="A96" s="282" t="s">
        <v>70</v>
      </c>
      <c r="B96" s="283"/>
      <c r="C96" s="168" t="str">
        <f>IF(C94="","",IF(B33&gt;C94,"ＯＫ","ＮＧ"))</f>
        <v/>
      </c>
      <c r="D96" s="169" t="s">
        <v>71</v>
      </c>
      <c r="E96" s="173" t="str">
        <f>IF(C96="","",IF(C96="ＯＫ","設定の管径とする","圧力損失が大きく、使用状況により水の出が悪い又は出ない場合があります。再設計してください。"))</f>
        <v/>
      </c>
      <c r="F96" s="61"/>
      <c r="G96" s="61"/>
      <c r="H96" s="61"/>
      <c r="I96" s="54"/>
    </row>
    <row r="97" spans="1:10" ht="20.100000000000001" customHeight="1">
      <c r="A97" s="63"/>
      <c r="B97" s="170" t="s">
        <v>78</v>
      </c>
      <c r="C97" s="171">
        <f>MAX(F48:F84)</f>
        <v>0</v>
      </c>
      <c r="D97" s="169" t="s">
        <v>173</v>
      </c>
      <c r="E97" s="172" t="str">
        <f>IF(C97=0,"",IF(C97&gt;2,"ウォータハンマが発生する可能性があります。","問題なし"))</f>
        <v/>
      </c>
      <c r="F97" s="46"/>
      <c r="G97" s="46"/>
      <c r="H97" s="46"/>
      <c r="I97" s="46"/>
    </row>
    <row r="101" spans="1:10">
      <c r="J101" s="45"/>
    </row>
    <row r="102" spans="1:10">
      <c r="J102" s="45"/>
    </row>
    <row r="104" spans="1:10">
      <c r="J104" s="46"/>
    </row>
  </sheetData>
  <sheetProtection formatCells="0" selectLockedCells="1" selectUnlockedCells="1"/>
  <mergeCells count="53">
    <mergeCell ref="H32:H33"/>
    <mergeCell ref="D33:E33"/>
    <mergeCell ref="A96:B96"/>
    <mergeCell ref="B79:C79"/>
    <mergeCell ref="B80:C80"/>
    <mergeCell ref="B81:C81"/>
    <mergeCell ref="B82:C82"/>
    <mergeCell ref="B83:C83"/>
    <mergeCell ref="B84:C84"/>
    <mergeCell ref="B78:C78"/>
    <mergeCell ref="B67:C67"/>
    <mergeCell ref="B68:C68"/>
    <mergeCell ref="B69:C69"/>
    <mergeCell ref="B70:C70"/>
    <mergeCell ref="B73:C73"/>
    <mergeCell ref="B74:C74"/>
    <mergeCell ref="B75:C75"/>
    <mergeCell ref="F32:F33"/>
    <mergeCell ref="G32:G33"/>
    <mergeCell ref="B76:C76"/>
    <mergeCell ref="B77:C77"/>
    <mergeCell ref="B66:C66"/>
    <mergeCell ref="B53:C53"/>
    <mergeCell ref="B54:C54"/>
    <mergeCell ref="B55:C55"/>
    <mergeCell ref="B56:C56"/>
    <mergeCell ref="B57:C57"/>
    <mergeCell ref="B58:C58"/>
    <mergeCell ref="A59:H59"/>
    <mergeCell ref="A62:A63"/>
    <mergeCell ref="B62:C63"/>
    <mergeCell ref="B64:C64"/>
    <mergeCell ref="B65:C65"/>
    <mergeCell ref="B71:C71"/>
    <mergeCell ref="B72:C72"/>
    <mergeCell ref="K46:K47"/>
    <mergeCell ref="B48:C48"/>
    <mergeCell ref="B49:C49"/>
    <mergeCell ref="B50:C50"/>
    <mergeCell ref="B51:C51"/>
    <mergeCell ref="J46:J47"/>
    <mergeCell ref="B52:C52"/>
    <mergeCell ref="D37:G37"/>
    <mergeCell ref="D38:E38"/>
    <mergeCell ref="D43:E43"/>
    <mergeCell ref="A46:A47"/>
    <mergeCell ref="B46:C47"/>
    <mergeCell ref="E2:F2"/>
    <mergeCell ref="G2:I2"/>
    <mergeCell ref="E3:F3"/>
    <mergeCell ref="G3:I3"/>
    <mergeCell ref="A8:A9"/>
    <mergeCell ref="F8:F9"/>
  </mergeCells>
  <phoneticPr fontId="1"/>
  <conditionalFormatting sqref="G10:G25">
    <cfRule type="colorScale" priority="1">
      <colorScale>
        <cfvo type="min"/>
        <cfvo type="max"/>
        <color theme="0"/>
        <color theme="0"/>
      </colorScale>
    </cfRule>
    <cfRule type="colorScale" priority="2">
      <colorScale>
        <cfvo type="min"/>
        <cfvo type="max"/>
        <color theme="0"/>
        <color theme="0"/>
      </colorScale>
    </cfRule>
    <cfRule type="expression" dxfId="3" priority="3">
      <formula>$C10&gt;0</formula>
    </cfRule>
  </conditionalFormatting>
  <dataValidations count="1">
    <dataValidation type="list" allowBlank="1" showInputMessage="1" showErrorMessage="1" sqref="A64:A84">
      <formula1>$A$48:$A$58</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&amp;R&amp;"-,斜体"&amp;8③居住人数から同時使用水量を算定</oddHeader>
  </headerFooter>
  <rowBreaks count="1" manualBreakCount="1">
    <brk id="60" max="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表!$E$5:$E$12</xm:f>
          </x14:formula1>
          <xm:sqref>D48:D58</xm:sqref>
        </x14:dataValidation>
        <x14:dataValidation type="list" allowBlank="1" showInputMessage="1" showErrorMessage="1">
          <x14:formula1>
            <xm:f>'直管換算表（参考）'!$B$5:$B$29</xm:f>
          </x14:formula1>
          <xm:sqref>B64:B84</xm:sqref>
        </x14:dataValidation>
        <x14:dataValidation type="list" allowBlank="1" showInputMessage="1" showErrorMessage="1">
          <x14:formula1>
            <xm:f>'直管換算表（参考）'!$B$7:$B$24</xm:f>
          </x14:formula1>
          <xm:sqref>B64:B84</xm:sqref>
        </x14:dataValidation>
        <x14:dataValidation type="list" allowBlank="1" showInputMessage="1" showErrorMessage="1">
          <x14:formula1>
            <xm:f>表!$F$5:$F$11</xm:f>
          </x14:formula1>
          <xm:sqref>D64:D85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150"/>
  <sheetViews>
    <sheetView showZeros="0" view="pageBreakPreview" topLeftCell="A13" zoomScaleNormal="100" zoomScaleSheetLayoutView="100" workbookViewId="0">
      <selection activeCell="B33" sqref="B33"/>
    </sheetView>
  </sheetViews>
  <sheetFormatPr defaultRowHeight="13.5"/>
  <cols>
    <col min="1" max="1" width="15.875" customWidth="1"/>
    <col min="2" max="5" width="8.625" customWidth="1"/>
    <col min="6" max="6" width="15.875" customWidth="1"/>
    <col min="7" max="9" width="8.625" customWidth="1"/>
    <col min="10" max="11" width="9" hidden="1" customWidth="1"/>
  </cols>
  <sheetData>
    <row r="1" spans="1:10" ht="20.25" customHeight="1">
      <c r="A1" t="s">
        <v>129</v>
      </c>
    </row>
    <row r="2" spans="1:10" ht="18" customHeight="1" thickBot="1">
      <c r="A2" s="1" t="s">
        <v>131</v>
      </c>
      <c r="E2" s="277" t="s">
        <v>127</v>
      </c>
      <c r="F2" s="277"/>
      <c r="G2" s="278"/>
      <c r="H2" s="278"/>
      <c r="I2" s="278"/>
      <c r="J2" s="5"/>
    </row>
    <row r="3" spans="1:10" ht="18.75" customHeight="1" thickBot="1">
      <c r="A3" s="1" t="s">
        <v>130</v>
      </c>
      <c r="E3" s="279" t="s">
        <v>128</v>
      </c>
      <c r="F3" s="280"/>
      <c r="G3" s="281"/>
      <c r="H3" s="281"/>
      <c r="I3" s="281"/>
      <c r="J3" s="5"/>
    </row>
    <row r="5" spans="1:10">
      <c r="A5" s="196" t="s">
        <v>247</v>
      </c>
    </row>
    <row r="6" spans="1:10" ht="14.25">
      <c r="A6" s="127" t="s">
        <v>179</v>
      </c>
      <c r="B6" s="190" t="s">
        <v>249</v>
      </c>
      <c r="D6" s="48"/>
      <c r="F6" s="127" t="s">
        <v>180</v>
      </c>
      <c r="H6" s="190" t="s">
        <v>228</v>
      </c>
    </row>
    <row r="7" spans="1:10" ht="14.25" thickBot="1">
      <c r="D7" s="48"/>
      <c r="F7" s="139" t="s">
        <v>163</v>
      </c>
      <c r="G7" s="161" t="str">
        <f>IFERROR(VLOOKUP(B26,表!B4:C33,2,FALSE),"")</f>
        <v/>
      </c>
      <c r="H7" s="140" t="s">
        <v>167</v>
      </c>
    </row>
    <row r="8" spans="1:10">
      <c r="A8" s="270" t="s">
        <v>0</v>
      </c>
      <c r="B8" s="74" t="s">
        <v>15</v>
      </c>
      <c r="C8" s="65" t="s">
        <v>1</v>
      </c>
      <c r="D8" s="66" t="s">
        <v>17</v>
      </c>
      <c r="F8" s="270" t="s">
        <v>0</v>
      </c>
      <c r="G8" s="78" t="s">
        <v>15</v>
      </c>
      <c r="H8" s="65" t="s">
        <v>1</v>
      </c>
      <c r="I8" s="66" t="s">
        <v>17</v>
      </c>
      <c r="J8" s="12"/>
    </row>
    <row r="9" spans="1:10" ht="14.25" thickBot="1">
      <c r="A9" s="271"/>
      <c r="B9" s="82" t="s">
        <v>79</v>
      </c>
      <c r="C9" s="83" t="s">
        <v>80</v>
      </c>
      <c r="D9" s="84" t="s">
        <v>80</v>
      </c>
      <c r="F9" s="271"/>
      <c r="G9" s="87" t="s">
        <v>79</v>
      </c>
      <c r="H9" s="83" t="s">
        <v>80</v>
      </c>
      <c r="I9" s="84" t="s">
        <v>80</v>
      </c>
      <c r="J9" s="12"/>
    </row>
    <row r="10" spans="1:10">
      <c r="A10" s="162" t="s">
        <v>2</v>
      </c>
      <c r="B10" s="80"/>
      <c r="C10" s="41"/>
      <c r="D10" s="81">
        <f t="shared" ref="D10:D25" si="0">B10*C10</f>
        <v>0</v>
      </c>
      <c r="E10" s="144">
        <f t="shared" ref="E10:E25" si="1">IF(AND(B10=0,C10=0),0,IF(B10*C10=0,"←入力不備",""))</f>
        <v>0</v>
      </c>
      <c r="F10" s="162" t="s">
        <v>2</v>
      </c>
      <c r="G10" s="85"/>
      <c r="H10" s="86" t="str">
        <f t="shared" ref="H10:H25" si="2">IF(C10=0,"",C10)</f>
        <v/>
      </c>
      <c r="I10" s="81" t="str">
        <f t="shared" ref="I10:I25" si="3">IFERROR(G10*H10,"")</f>
        <v/>
      </c>
      <c r="J10" s="10"/>
    </row>
    <row r="11" spans="1:10">
      <c r="A11" s="163" t="s">
        <v>3</v>
      </c>
      <c r="B11" s="75"/>
      <c r="C11" s="4"/>
      <c r="D11" s="68">
        <f t="shared" si="0"/>
        <v>0</v>
      </c>
      <c r="E11" s="144">
        <f t="shared" si="1"/>
        <v>0</v>
      </c>
      <c r="F11" s="163" t="s">
        <v>3</v>
      </c>
      <c r="G11" s="79"/>
      <c r="H11" s="13" t="str">
        <f t="shared" si="2"/>
        <v/>
      </c>
      <c r="I11" s="68" t="str">
        <f t="shared" si="3"/>
        <v/>
      </c>
      <c r="J11" s="10"/>
    </row>
    <row r="12" spans="1:10">
      <c r="A12" s="163" t="s">
        <v>18</v>
      </c>
      <c r="B12" s="75"/>
      <c r="C12" s="4"/>
      <c r="D12" s="68">
        <f t="shared" si="0"/>
        <v>0</v>
      </c>
      <c r="E12" s="144">
        <f t="shared" si="1"/>
        <v>0</v>
      </c>
      <c r="F12" s="163" t="s">
        <v>18</v>
      </c>
      <c r="G12" s="79"/>
      <c r="H12" s="13" t="str">
        <f t="shared" si="2"/>
        <v/>
      </c>
      <c r="I12" s="68" t="str">
        <f t="shared" si="3"/>
        <v/>
      </c>
      <c r="J12" s="10"/>
    </row>
    <row r="13" spans="1:10">
      <c r="A13" s="163" t="s">
        <v>4</v>
      </c>
      <c r="B13" s="75"/>
      <c r="C13" s="4"/>
      <c r="D13" s="68">
        <f t="shared" si="0"/>
        <v>0</v>
      </c>
      <c r="E13" s="144">
        <f t="shared" si="1"/>
        <v>0</v>
      </c>
      <c r="F13" s="163" t="s">
        <v>4</v>
      </c>
      <c r="G13" s="79"/>
      <c r="H13" s="13" t="str">
        <f t="shared" si="2"/>
        <v/>
      </c>
      <c r="I13" s="68" t="str">
        <f t="shared" si="3"/>
        <v/>
      </c>
      <c r="J13" s="10"/>
    </row>
    <row r="14" spans="1:10">
      <c r="A14" s="163" t="s">
        <v>5</v>
      </c>
      <c r="B14" s="75"/>
      <c r="C14" s="4"/>
      <c r="D14" s="68">
        <f t="shared" si="0"/>
        <v>0</v>
      </c>
      <c r="E14" s="144">
        <f t="shared" si="1"/>
        <v>0</v>
      </c>
      <c r="F14" s="163" t="s">
        <v>5</v>
      </c>
      <c r="G14" s="79"/>
      <c r="H14" s="13" t="str">
        <f t="shared" si="2"/>
        <v/>
      </c>
      <c r="I14" s="68" t="str">
        <f t="shared" si="3"/>
        <v/>
      </c>
      <c r="J14" s="10"/>
    </row>
    <row r="15" spans="1:10">
      <c r="A15" s="163" t="s">
        <v>6</v>
      </c>
      <c r="B15" s="75"/>
      <c r="C15" s="4"/>
      <c r="D15" s="68">
        <f t="shared" si="0"/>
        <v>0</v>
      </c>
      <c r="E15" s="144">
        <f t="shared" si="1"/>
        <v>0</v>
      </c>
      <c r="F15" s="163" t="s">
        <v>6</v>
      </c>
      <c r="G15" s="79"/>
      <c r="H15" s="13" t="str">
        <f t="shared" si="2"/>
        <v/>
      </c>
      <c r="I15" s="68" t="str">
        <f t="shared" si="3"/>
        <v/>
      </c>
      <c r="J15" s="10"/>
    </row>
    <row r="16" spans="1:10">
      <c r="A16" s="163" t="s">
        <v>7</v>
      </c>
      <c r="B16" s="75"/>
      <c r="C16" s="4"/>
      <c r="D16" s="68">
        <f t="shared" si="0"/>
        <v>0</v>
      </c>
      <c r="E16" s="144">
        <f t="shared" si="1"/>
        <v>0</v>
      </c>
      <c r="F16" s="163" t="s">
        <v>7</v>
      </c>
      <c r="G16" s="79"/>
      <c r="H16" s="13" t="str">
        <f t="shared" si="2"/>
        <v/>
      </c>
      <c r="I16" s="68" t="str">
        <f t="shared" si="3"/>
        <v/>
      </c>
      <c r="J16" s="10"/>
    </row>
    <row r="17" spans="1:10">
      <c r="A17" s="163" t="s">
        <v>8</v>
      </c>
      <c r="B17" s="75"/>
      <c r="C17" s="4"/>
      <c r="D17" s="68">
        <f t="shared" si="0"/>
        <v>0</v>
      </c>
      <c r="E17" s="144">
        <f t="shared" si="1"/>
        <v>0</v>
      </c>
      <c r="F17" s="163" t="s">
        <v>8</v>
      </c>
      <c r="G17" s="79"/>
      <c r="H17" s="13" t="str">
        <f t="shared" si="2"/>
        <v/>
      </c>
      <c r="I17" s="68" t="str">
        <f t="shared" si="3"/>
        <v/>
      </c>
      <c r="J17" s="10"/>
    </row>
    <row r="18" spans="1:10">
      <c r="A18" s="163" t="s">
        <v>9</v>
      </c>
      <c r="B18" s="75"/>
      <c r="C18" s="4"/>
      <c r="D18" s="68">
        <f t="shared" si="0"/>
        <v>0</v>
      </c>
      <c r="E18" s="144">
        <f t="shared" si="1"/>
        <v>0</v>
      </c>
      <c r="F18" s="163" t="s">
        <v>9</v>
      </c>
      <c r="G18" s="79"/>
      <c r="H18" s="13" t="str">
        <f t="shared" si="2"/>
        <v/>
      </c>
      <c r="I18" s="68" t="str">
        <f t="shared" si="3"/>
        <v/>
      </c>
      <c r="J18" s="10"/>
    </row>
    <row r="19" spans="1:10">
      <c r="A19" s="163" t="s">
        <v>10</v>
      </c>
      <c r="B19" s="75"/>
      <c r="C19" s="4"/>
      <c r="D19" s="68">
        <f t="shared" si="0"/>
        <v>0</v>
      </c>
      <c r="E19" s="144">
        <f t="shared" si="1"/>
        <v>0</v>
      </c>
      <c r="F19" s="163" t="s">
        <v>10</v>
      </c>
      <c r="G19" s="79"/>
      <c r="H19" s="13" t="str">
        <f t="shared" si="2"/>
        <v/>
      </c>
      <c r="I19" s="68" t="str">
        <f t="shared" si="3"/>
        <v/>
      </c>
      <c r="J19" s="10"/>
    </row>
    <row r="20" spans="1:10">
      <c r="A20" s="163" t="s">
        <v>11</v>
      </c>
      <c r="B20" s="75"/>
      <c r="C20" s="4"/>
      <c r="D20" s="68">
        <f t="shared" si="0"/>
        <v>0</v>
      </c>
      <c r="E20" s="144">
        <f t="shared" si="1"/>
        <v>0</v>
      </c>
      <c r="F20" s="163" t="s">
        <v>11</v>
      </c>
      <c r="G20" s="79"/>
      <c r="H20" s="13" t="str">
        <f t="shared" si="2"/>
        <v/>
      </c>
      <c r="I20" s="68" t="str">
        <f t="shared" si="3"/>
        <v/>
      </c>
      <c r="J20" s="10"/>
    </row>
    <row r="21" spans="1:10">
      <c r="A21" s="163" t="s">
        <v>12</v>
      </c>
      <c r="B21" s="75"/>
      <c r="C21" s="4"/>
      <c r="D21" s="68">
        <f t="shared" si="0"/>
        <v>0</v>
      </c>
      <c r="E21" s="144">
        <f t="shared" si="1"/>
        <v>0</v>
      </c>
      <c r="F21" s="163" t="s">
        <v>12</v>
      </c>
      <c r="G21" s="79"/>
      <c r="H21" s="13" t="str">
        <f t="shared" si="2"/>
        <v/>
      </c>
      <c r="I21" s="68" t="str">
        <f t="shared" si="3"/>
        <v/>
      </c>
      <c r="J21" s="10"/>
    </row>
    <row r="22" spans="1:10">
      <c r="A22" s="163" t="s">
        <v>13</v>
      </c>
      <c r="B22" s="75"/>
      <c r="C22" s="4"/>
      <c r="D22" s="68">
        <f t="shared" si="0"/>
        <v>0</v>
      </c>
      <c r="E22" s="144">
        <f t="shared" si="1"/>
        <v>0</v>
      </c>
      <c r="F22" s="163" t="s">
        <v>13</v>
      </c>
      <c r="G22" s="79"/>
      <c r="H22" s="13" t="str">
        <f t="shared" si="2"/>
        <v/>
      </c>
      <c r="I22" s="68" t="str">
        <f t="shared" si="3"/>
        <v/>
      </c>
      <c r="J22" s="10"/>
    </row>
    <row r="23" spans="1:10">
      <c r="A23" s="163" t="s">
        <v>14</v>
      </c>
      <c r="B23" s="75"/>
      <c r="C23" s="4"/>
      <c r="D23" s="68">
        <f t="shared" si="0"/>
        <v>0</v>
      </c>
      <c r="E23" s="144">
        <f t="shared" si="1"/>
        <v>0</v>
      </c>
      <c r="F23" s="163" t="s">
        <v>14</v>
      </c>
      <c r="G23" s="79"/>
      <c r="H23" s="13" t="str">
        <f t="shared" si="2"/>
        <v/>
      </c>
      <c r="I23" s="68" t="str">
        <f t="shared" si="3"/>
        <v/>
      </c>
      <c r="J23" s="10"/>
    </row>
    <row r="24" spans="1:10">
      <c r="A24" s="163" t="s">
        <v>300</v>
      </c>
      <c r="B24" s="75"/>
      <c r="C24" s="4"/>
      <c r="D24" s="68">
        <f t="shared" si="0"/>
        <v>0</v>
      </c>
      <c r="E24" s="144">
        <f t="shared" si="1"/>
        <v>0</v>
      </c>
      <c r="F24" s="163"/>
      <c r="G24" s="79"/>
      <c r="H24" s="13" t="str">
        <f t="shared" si="2"/>
        <v/>
      </c>
      <c r="I24" s="68" t="str">
        <f t="shared" si="3"/>
        <v/>
      </c>
      <c r="J24" s="10"/>
    </row>
    <row r="25" spans="1:10" ht="14.25" thickBot="1">
      <c r="A25" s="164"/>
      <c r="B25" s="76"/>
      <c r="C25" s="73"/>
      <c r="D25" s="70">
        <f t="shared" si="0"/>
        <v>0</v>
      </c>
      <c r="E25" s="144">
        <f t="shared" si="1"/>
        <v>0</v>
      </c>
      <c r="F25" s="165"/>
      <c r="G25" s="88"/>
      <c r="H25" s="89" t="str">
        <f t="shared" si="2"/>
        <v/>
      </c>
      <c r="I25" s="90" t="str">
        <f t="shared" si="3"/>
        <v/>
      </c>
      <c r="J25" s="10"/>
    </row>
    <row r="26" spans="1:10" ht="14.25" thickBot="1">
      <c r="A26" s="77" t="s">
        <v>16</v>
      </c>
      <c r="B26" s="159" t="str">
        <f>IF(SUM(B10:B25),SUM(B10:B25)," ")</f>
        <v xml:space="preserve"> </v>
      </c>
      <c r="C26" s="71"/>
      <c r="D26" s="157" t="str">
        <f>IF(SUM(D10:D25),SUM(D10:D25)," ")</f>
        <v xml:space="preserve"> </v>
      </c>
      <c r="E26" s="18"/>
      <c r="F26" s="91" t="s">
        <v>27</v>
      </c>
      <c r="G26" s="160" t="str">
        <f>IF(SUM(G10:G25),SUM(G10:G25),"")</f>
        <v/>
      </c>
      <c r="H26" s="93" t="s">
        <v>132</v>
      </c>
      <c r="I26" s="238" t="str">
        <f>IF(SUM(I10:I25),SUM(I10:I25)," ")</f>
        <v xml:space="preserve"> </v>
      </c>
      <c r="J26" s="10"/>
    </row>
    <row r="27" spans="1:10">
      <c r="A27" s="8"/>
      <c r="C27" s="8"/>
      <c r="F27" s="47" t="str">
        <f>IF(G26="","",IF(G26&gt;G7,"同時使用水栓数が多すぎます。同時使用水栓数目標値："&amp;G7,IF(G26&lt;G7,"同時使用水栓数が足りていません。同時使用水栓数目標値："&amp;G7,"")))</f>
        <v/>
      </c>
      <c r="G27" s="44"/>
      <c r="H27" s="44"/>
      <c r="I27" s="44"/>
      <c r="J27" s="44"/>
    </row>
    <row r="28" spans="1:10" ht="15" thickBot="1">
      <c r="A28" s="128" t="s">
        <v>211</v>
      </c>
      <c r="C28" s="8"/>
      <c r="F28" s="47"/>
      <c r="G28" s="44"/>
      <c r="H28" s="44"/>
      <c r="I28" s="44"/>
      <c r="J28" s="44"/>
    </row>
    <row r="29" spans="1:10">
      <c r="A29" s="95" t="s">
        <v>133</v>
      </c>
      <c r="B29" s="96"/>
      <c r="C29" s="97" t="s">
        <v>134</v>
      </c>
      <c r="D29" s="38"/>
      <c r="E29" s="38"/>
      <c r="F29" s="38"/>
      <c r="G29" s="38"/>
    </row>
    <row r="30" spans="1:10">
      <c r="A30" s="178" t="s">
        <v>206</v>
      </c>
      <c r="B30" s="58" t="str">
        <f>IFERROR(I26*B29,"")</f>
        <v/>
      </c>
      <c r="C30" s="174" t="s">
        <v>168</v>
      </c>
      <c r="D30" s="94"/>
      <c r="E30" s="57"/>
      <c r="F30" s="38"/>
      <c r="G30" s="38"/>
    </row>
    <row r="31" spans="1:10" ht="13.5" customHeight="1">
      <c r="A31" s="98" t="s">
        <v>135</v>
      </c>
      <c r="B31" s="56" t="str">
        <f>IFERROR(VLOOKUP(B29,表!B159:C218,2,FALSE),"")</f>
        <v/>
      </c>
      <c r="C31" s="99" t="s">
        <v>155</v>
      </c>
      <c r="D31" s="191" t="s">
        <v>229</v>
      </c>
      <c r="E31" s="38"/>
      <c r="F31" s="295" t="s">
        <v>265</v>
      </c>
      <c r="G31" s="297" t="str">
        <f>IFERROR(B32/B29,"")</f>
        <v/>
      </c>
      <c r="H31" s="288" t="s">
        <v>272</v>
      </c>
    </row>
    <row r="32" spans="1:10">
      <c r="A32" s="220" t="s">
        <v>158</v>
      </c>
      <c r="B32" s="233" t="str">
        <f>IFERROR(B30*B31*0.01,"")</f>
        <v/>
      </c>
      <c r="C32" s="221" t="s">
        <v>156</v>
      </c>
      <c r="D32" s="308" t="s">
        <v>267</v>
      </c>
      <c r="E32" s="309"/>
      <c r="F32" s="296"/>
      <c r="G32" s="298"/>
      <c r="H32" s="289"/>
    </row>
    <row r="33" spans="1:11">
      <c r="A33" s="141" t="s">
        <v>187</v>
      </c>
      <c r="B33" s="60"/>
      <c r="C33" s="142" t="s">
        <v>188</v>
      </c>
      <c r="D33" s="18" t="str">
        <f>IF(B33="","",IF(AND(B32&lt;=65,B33&lt;=49),"エラー　3階までの直結直圧はできません",IF(AND(B32&gt;=66,B33&lt;=74),"エラー　3階までの直結直圧はできません",IF(AND(B32&lt;=65,B33&gt;=50),"",IF(AND(B32&gt;=66,B33&gt;=75),"")))))</f>
        <v/>
      </c>
      <c r="E33" s="38"/>
      <c r="F33" s="44"/>
      <c r="G33" s="44"/>
      <c r="H33" s="234"/>
    </row>
    <row r="34" spans="1:11" ht="14.25" thickBot="1">
      <c r="A34" s="100" t="s">
        <v>164</v>
      </c>
      <c r="B34" s="101"/>
      <c r="C34" s="102" t="s">
        <v>28</v>
      </c>
      <c r="D34" s="18" t="str">
        <f>IF(B34="","",IF(B34&lt;0.2,"エラー　3階までの直結直圧はできません",""))</f>
        <v/>
      </c>
    </row>
    <row r="36" spans="1:11" ht="15" thickBot="1">
      <c r="A36" s="129" t="s">
        <v>181</v>
      </c>
    </row>
    <row r="37" spans="1:11">
      <c r="A37" s="103" t="s">
        <v>29</v>
      </c>
      <c r="B37" s="104" t="str">
        <f>IFERROR(I26/1000/60,"")</f>
        <v/>
      </c>
      <c r="C37" s="111" t="s">
        <v>178</v>
      </c>
    </row>
    <row r="38" spans="1:11">
      <c r="A38" s="67" t="s">
        <v>30</v>
      </c>
      <c r="B38" s="6">
        <v>2</v>
      </c>
      <c r="C38" s="155" t="s">
        <v>177</v>
      </c>
      <c r="D38" s="276" t="str">
        <f>IF(B38&gt;2,"設定値が上限を超えています。（2.0以下とする)","")</f>
        <v/>
      </c>
      <c r="E38" s="276"/>
      <c r="F38" s="276"/>
      <c r="G38" s="276"/>
    </row>
    <row r="39" spans="1:11" ht="14.25" thickBot="1">
      <c r="A39" s="106" t="s">
        <v>166</v>
      </c>
      <c r="B39" s="107" t="str">
        <f>IFERROR(ROUND((SQRT(4*B37/(PI()*B38))*1000),0),"")</f>
        <v/>
      </c>
      <c r="C39" s="108" t="s">
        <v>31</v>
      </c>
      <c r="D39" s="272" t="s">
        <v>165</v>
      </c>
      <c r="E39" s="273"/>
      <c r="F39" s="143" t="s">
        <v>189</v>
      </c>
      <c r="G39" s="64" t="str">
        <f>IFERROR(VLOOKUP(B39,表!B37:C82,2,FALSE),"")</f>
        <v/>
      </c>
      <c r="H39" s="63" t="s">
        <v>33</v>
      </c>
    </row>
    <row r="40" spans="1:11">
      <c r="D40" s="273" t="s">
        <v>165</v>
      </c>
      <c r="E40" s="273"/>
      <c r="F40" s="143" t="s">
        <v>190</v>
      </c>
      <c r="G40" s="194"/>
      <c r="H40" s="63" t="s">
        <v>33</v>
      </c>
      <c r="I40" s="37"/>
    </row>
    <row r="41" spans="1:11" ht="15" thickBot="1">
      <c r="A41" s="129" t="s">
        <v>182</v>
      </c>
      <c r="B41" s="8"/>
      <c r="F41" s="11"/>
    </row>
    <row r="42" spans="1:11">
      <c r="A42" s="103" t="s">
        <v>29</v>
      </c>
      <c r="B42" s="104" t="str">
        <f>IFERROR(B32/1000/60,"")</f>
        <v/>
      </c>
      <c r="C42" s="105" t="s">
        <v>178</v>
      </c>
    </row>
    <row r="43" spans="1:11">
      <c r="A43" s="109" t="s">
        <v>30</v>
      </c>
      <c r="B43" s="27">
        <v>2</v>
      </c>
      <c r="C43" s="156" t="s">
        <v>177</v>
      </c>
    </row>
    <row r="44" spans="1:11" ht="14.25" thickBot="1">
      <c r="A44" s="69" t="s">
        <v>169</v>
      </c>
      <c r="B44" s="110" t="str">
        <f>IFERROR(ROUND((SQRT(4*B42/(PI()*B43))*1000),0),"")</f>
        <v/>
      </c>
      <c r="C44" s="108" t="s">
        <v>170</v>
      </c>
      <c r="D44" s="272" t="s">
        <v>171</v>
      </c>
      <c r="E44" s="273"/>
      <c r="F44" s="62" t="s">
        <v>138</v>
      </c>
      <c r="G44" s="64" t="str">
        <f>IFERROR(VLOOKUP(B44,表!B37:C107,2,FALSE),"")</f>
        <v/>
      </c>
      <c r="H44" s="63" t="s">
        <v>33</v>
      </c>
    </row>
    <row r="45" spans="1:11">
      <c r="A45" s="12"/>
      <c r="B45" s="12"/>
      <c r="C45" s="25"/>
      <c r="D45" s="8"/>
      <c r="F45" s="144" t="str">
        <f>IF(G44="","",IF(G44&lt;50,"",IF(B33&gt;=100,"","配水管が100㎜以下のため3階までの直結直圧はできません")))</f>
        <v/>
      </c>
    </row>
    <row r="46" spans="1:11" ht="15" thickBot="1">
      <c r="A46" s="130" t="s">
        <v>191</v>
      </c>
    </row>
    <row r="47" spans="1:11" ht="13.5" customHeight="1">
      <c r="A47" s="262" t="s">
        <v>55</v>
      </c>
      <c r="B47" s="252" t="s">
        <v>153</v>
      </c>
      <c r="C47" s="264"/>
      <c r="D47" s="117" t="s">
        <v>32</v>
      </c>
      <c r="E47" s="112" t="s">
        <v>45</v>
      </c>
      <c r="F47" s="112" t="s">
        <v>77</v>
      </c>
      <c r="G47" s="112" t="s">
        <v>43</v>
      </c>
      <c r="H47" s="112" t="s">
        <v>152</v>
      </c>
      <c r="I47" s="66" t="s">
        <v>44</v>
      </c>
      <c r="J47" s="245" t="s">
        <v>162</v>
      </c>
      <c r="K47" s="245" t="s">
        <v>161</v>
      </c>
    </row>
    <row r="48" spans="1:11" ht="14.25" thickBot="1">
      <c r="A48" s="263"/>
      <c r="B48" s="254"/>
      <c r="C48" s="265"/>
      <c r="D48" s="124" t="s">
        <v>83</v>
      </c>
      <c r="E48" s="125" t="s">
        <v>168</v>
      </c>
      <c r="F48" s="125" t="s">
        <v>82</v>
      </c>
      <c r="G48" s="125" t="s">
        <v>81</v>
      </c>
      <c r="H48" s="125" t="s">
        <v>85</v>
      </c>
      <c r="I48" s="126" t="s">
        <v>84</v>
      </c>
      <c r="J48" s="245"/>
      <c r="K48" s="245"/>
    </row>
    <row r="49" spans="1:11">
      <c r="A49" s="120" t="s">
        <v>289</v>
      </c>
      <c r="B49" s="266" t="s">
        <v>46</v>
      </c>
      <c r="C49" s="267"/>
      <c r="D49" s="80"/>
      <c r="E49" s="41"/>
      <c r="F49" s="30" t="str">
        <f t="shared" ref="F49:F59" si="4">IFERROR((E49/1000/60)/((D49/1000)^2*PI()/4),"  ")</f>
        <v xml:space="preserve">  </v>
      </c>
      <c r="G49" s="30" t="str">
        <f t="shared" ref="G49:G59" si="5">IFERROR(I49/H49*1000," ")</f>
        <v xml:space="preserve"> </v>
      </c>
      <c r="H49" s="122"/>
      <c r="I49" s="123" t="str">
        <f>IF(D49&lt;=50,J49,K49)</f>
        <v>　</v>
      </c>
      <c r="J49" t="str">
        <f>IFERROR(((0.0126+(0.01739-0.1087*(D49/1000))/SQRT(F49))*H49/(D49/1000)*F49^2/(2*9.8)),"　")</f>
        <v>　</v>
      </c>
      <c r="K49" t="str">
        <f t="shared" ref="K49:K85" si="6">IFERROR(10.666*(140^(-1.85) )*((D49/1000)^(-4.87))*(((E49/1000)/60)^1.85)*H49,"")</f>
        <v/>
      </c>
    </row>
    <row r="50" spans="1:11">
      <c r="A50" s="113" t="s">
        <v>290</v>
      </c>
      <c r="B50" s="268" t="s">
        <v>47</v>
      </c>
      <c r="C50" s="269"/>
      <c r="D50" s="75"/>
      <c r="E50" s="4"/>
      <c r="F50" s="2" t="str">
        <f t="shared" si="4"/>
        <v xml:space="preserve">  </v>
      </c>
      <c r="G50" s="2" t="str">
        <f t="shared" si="5"/>
        <v xml:space="preserve"> </v>
      </c>
      <c r="H50" s="6"/>
      <c r="I50" s="114" t="str">
        <f t="shared" ref="I50:I59" si="7">IF(D50&lt;=50,J50,K50)</f>
        <v>　</v>
      </c>
      <c r="J50" t="str">
        <f t="shared" ref="J50:J85" si="8">IFERROR(((0.0126+(0.01739-0.1087*(D50/1000))/SQRT(F50))*H50/(D50/1000)*F50^2/(2*9.8)),"　")</f>
        <v>　</v>
      </c>
      <c r="K50" t="str">
        <f t="shared" si="6"/>
        <v/>
      </c>
    </row>
    <row r="51" spans="1:11">
      <c r="A51" s="113" t="s">
        <v>291</v>
      </c>
      <c r="B51" s="268" t="s">
        <v>48</v>
      </c>
      <c r="C51" s="269"/>
      <c r="D51" s="75"/>
      <c r="E51" s="4"/>
      <c r="F51" s="2" t="str">
        <f t="shared" si="4"/>
        <v xml:space="preserve">  </v>
      </c>
      <c r="G51" s="2" t="str">
        <f t="shared" si="5"/>
        <v xml:space="preserve"> </v>
      </c>
      <c r="H51" s="6"/>
      <c r="I51" s="114" t="str">
        <f t="shared" si="7"/>
        <v>　</v>
      </c>
      <c r="J51" t="str">
        <f t="shared" si="8"/>
        <v>　</v>
      </c>
      <c r="K51" t="str">
        <f t="shared" si="6"/>
        <v/>
      </c>
    </row>
    <row r="52" spans="1:11">
      <c r="A52" s="113" t="s">
        <v>292</v>
      </c>
      <c r="B52" s="268" t="s">
        <v>49</v>
      </c>
      <c r="C52" s="269"/>
      <c r="D52" s="75"/>
      <c r="E52" s="4"/>
      <c r="F52" s="2" t="str">
        <f t="shared" si="4"/>
        <v xml:space="preserve">  </v>
      </c>
      <c r="G52" s="2" t="str">
        <f t="shared" si="5"/>
        <v xml:space="preserve"> </v>
      </c>
      <c r="H52" s="6"/>
      <c r="I52" s="114" t="str">
        <f t="shared" si="7"/>
        <v>　</v>
      </c>
      <c r="J52" t="str">
        <f t="shared" si="8"/>
        <v>　</v>
      </c>
      <c r="K52" t="str">
        <f t="shared" si="6"/>
        <v/>
      </c>
    </row>
    <row r="53" spans="1:11">
      <c r="A53" s="113" t="s">
        <v>293</v>
      </c>
      <c r="B53" s="268" t="s">
        <v>50</v>
      </c>
      <c r="C53" s="269"/>
      <c r="D53" s="75"/>
      <c r="E53" s="4"/>
      <c r="F53" s="2" t="str">
        <f t="shared" si="4"/>
        <v xml:space="preserve">  </v>
      </c>
      <c r="G53" s="2" t="str">
        <f t="shared" si="5"/>
        <v xml:space="preserve"> </v>
      </c>
      <c r="H53" s="6"/>
      <c r="I53" s="114" t="str">
        <f t="shared" si="7"/>
        <v>　</v>
      </c>
      <c r="J53" t="str">
        <f t="shared" si="8"/>
        <v>　</v>
      </c>
      <c r="K53" t="str">
        <f t="shared" si="6"/>
        <v/>
      </c>
    </row>
    <row r="54" spans="1:11">
      <c r="A54" s="113" t="s">
        <v>294</v>
      </c>
      <c r="B54" s="268" t="s">
        <v>51</v>
      </c>
      <c r="C54" s="269"/>
      <c r="D54" s="75"/>
      <c r="E54" s="4"/>
      <c r="F54" s="2" t="str">
        <f t="shared" si="4"/>
        <v xml:space="preserve">  </v>
      </c>
      <c r="G54" s="2" t="str">
        <f t="shared" si="5"/>
        <v xml:space="preserve"> </v>
      </c>
      <c r="H54" s="6"/>
      <c r="I54" s="114" t="str">
        <f t="shared" si="7"/>
        <v>　</v>
      </c>
      <c r="J54" t="str">
        <f t="shared" si="8"/>
        <v>　</v>
      </c>
      <c r="K54" t="str">
        <f t="shared" si="6"/>
        <v/>
      </c>
    </row>
    <row r="55" spans="1:11">
      <c r="A55" s="113" t="s">
        <v>295</v>
      </c>
      <c r="B55" s="268" t="s">
        <v>52</v>
      </c>
      <c r="C55" s="269"/>
      <c r="D55" s="75"/>
      <c r="E55" s="4"/>
      <c r="F55" s="2" t="str">
        <f t="shared" si="4"/>
        <v xml:space="preserve">  </v>
      </c>
      <c r="G55" s="2" t="str">
        <f t="shared" si="5"/>
        <v xml:space="preserve"> </v>
      </c>
      <c r="H55" s="6"/>
      <c r="I55" s="114" t="str">
        <f t="shared" si="7"/>
        <v>　</v>
      </c>
      <c r="J55" t="str">
        <f t="shared" si="8"/>
        <v>　</v>
      </c>
      <c r="K55" t="str">
        <f t="shared" si="6"/>
        <v/>
      </c>
    </row>
    <row r="56" spans="1:11">
      <c r="A56" s="113" t="s">
        <v>296</v>
      </c>
      <c r="B56" s="268" t="s">
        <v>53</v>
      </c>
      <c r="C56" s="269"/>
      <c r="D56" s="75"/>
      <c r="E56" s="4"/>
      <c r="F56" s="2" t="str">
        <f t="shared" si="4"/>
        <v xml:space="preserve">  </v>
      </c>
      <c r="G56" s="2" t="str">
        <f t="shared" si="5"/>
        <v xml:space="preserve"> </v>
      </c>
      <c r="H56" s="6"/>
      <c r="I56" s="114" t="str">
        <f t="shared" si="7"/>
        <v>　</v>
      </c>
      <c r="J56" t="str">
        <f t="shared" si="8"/>
        <v>　</v>
      </c>
      <c r="K56" t="str">
        <f t="shared" si="6"/>
        <v/>
      </c>
    </row>
    <row r="57" spans="1:11">
      <c r="A57" s="113" t="s">
        <v>297</v>
      </c>
      <c r="B57" s="268" t="s">
        <v>54</v>
      </c>
      <c r="C57" s="269"/>
      <c r="D57" s="75"/>
      <c r="E57" s="4"/>
      <c r="F57" s="2" t="str">
        <f t="shared" si="4"/>
        <v xml:space="preserve">  </v>
      </c>
      <c r="G57" s="2" t="str">
        <f t="shared" si="5"/>
        <v xml:space="preserve"> </v>
      </c>
      <c r="H57" s="6"/>
      <c r="I57" s="114" t="str">
        <f t="shared" si="7"/>
        <v>　</v>
      </c>
      <c r="J57" t="str">
        <f t="shared" si="8"/>
        <v>　</v>
      </c>
      <c r="K57" t="str">
        <f t="shared" si="6"/>
        <v/>
      </c>
    </row>
    <row r="58" spans="1:11">
      <c r="A58" s="120" t="s">
        <v>298</v>
      </c>
      <c r="B58" s="258" t="s">
        <v>175</v>
      </c>
      <c r="C58" s="259"/>
      <c r="D58" s="80"/>
      <c r="E58" s="41"/>
      <c r="F58" s="30" t="str">
        <f t="shared" si="4"/>
        <v xml:space="preserve">  </v>
      </c>
      <c r="G58" s="30" t="str">
        <f t="shared" si="5"/>
        <v xml:space="preserve"> </v>
      </c>
      <c r="H58" s="122"/>
      <c r="I58" s="123" t="str">
        <f>IF(D58&lt;=50,J58,K58)</f>
        <v>　</v>
      </c>
      <c r="J58" t="str">
        <f t="shared" si="8"/>
        <v>　</v>
      </c>
      <c r="K58" t="str">
        <f t="shared" si="6"/>
        <v/>
      </c>
    </row>
    <row r="59" spans="1:11" ht="14.25" thickBot="1">
      <c r="A59" s="119" t="s">
        <v>299</v>
      </c>
      <c r="B59" s="260" t="s">
        <v>176</v>
      </c>
      <c r="C59" s="261"/>
      <c r="D59" s="75"/>
      <c r="E59" s="4"/>
      <c r="F59" s="26" t="str">
        <f t="shared" si="4"/>
        <v xml:space="preserve">  </v>
      </c>
      <c r="G59" s="26" t="str">
        <f t="shared" si="5"/>
        <v xml:space="preserve"> </v>
      </c>
      <c r="H59" s="6"/>
      <c r="I59" s="114" t="str">
        <f t="shared" si="7"/>
        <v>　</v>
      </c>
      <c r="J59" t="str">
        <f t="shared" si="8"/>
        <v>　</v>
      </c>
      <c r="K59" t="str">
        <f t="shared" si="6"/>
        <v/>
      </c>
    </row>
    <row r="60" spans="1:11" ht="14.25" thickBot="1">
      <c r="A60" s="248" t="s">
        <v>57</v>
      </c>
      <c r="B60" s="249"/>
      <c r="C60" s="249"/>
      <c r="D60" s="250"/>
      <c r="E60" s="250"/>
      <c r="F60" s="250"/>
      <c r="G60" s="250"/>
      <c r="H60" s="251"/>
      <c r="I60" s="116" t="str">
        <f>IF(SUM(I49:I59),SUM(I49:I59)," ")</f>
        <v xml:space="preserve"> </v>
      </c>
      <c r="J60" t="str">
        <f t="shared" si="8"/>
        <v>　</v>
      </c>
      <c r="K60" t="str">
        <f t="shared" si="6"/>
        <v/>
      </c>
    </row>
    <row r="61" spans="1:11">
      <c r="A61" s="8"/>
      <c r="J61" t="str">
        <f t="shared" si="8"/>
        <v>　</v>
      </c>
      <c r="K61" t="str">
        <f t="shared" si="6"/>
        <v/>
      </c>
    </row>
    <row r="62" spans="1:11" ht="15" thickBot="1">
      <c r="A62" s="131" t="s">
        <v>192</v>
      </c>
      <c r="C62" s="192" t="s">
        <v>230</v>
      </c>
      <c r="J62" t="str">
        <f t="shared" si="8"/>
        <v>　</v>
      </c>
      <c r="K62" t="str">
        <f t="shared" si="6"/>
        <v/>
      </c>
    </row>
    <row r="63" spans="1:11">
      <c r="A63" s="262" t="s">
        <v>55</v>
      </c>
      <c r="B63" s="252" t="s">
        <v>75</v>
      </c>
      <c r="C63" s="253"/>
      <c r="D63" s="112" t="s">
        <v>126</v>
      </c>
      <c r="E63" s="112" t="s">
        <v>45</v>
      </c>
      <c r="F63" s="112" t="s">
        <v>77</v>
      </c>
      <c r="G63" s="112" t="s">
        <v>43</v>
      </c>
      <c r="H63" s="112" t="s">
        <v>66</v>
      </c>
      <c r="I63" s="66" t="s">
        <v>44</v>
      </c>
      <c r="J63" t="str">
        <f t="shared" si="8"/>
        <v>　</v>
      </c>
      <c r="K63" t="str">
        <f t="shared" si="6"/>
        <v/>
      </c>
    </row>
    <row r="64" spans="1:11" ht="14.25" thickBot="1">
      <c r="A64" s="263"/>
      <c r="B64" s="254"/>
      <c r="C64" s="255"/>
      <c r="D64" s="125" t="s">
        <v>83</v>
      </c>
      <c r="E64" s="125" t="s">
        <v>172</v>
      </c>
      <c r="F64" s="125" t="s">
        <v>82</v>
      </c>
      <c r="G64" s="125" t="s">
        <v>81</v>
      </c>
      <c r="H64" s="125" t="s">
        <v>85</v>
      </c>
      <c r="I64" s="126" t="s">
        <v>84</v>
      </c>
      <c r="J64" t="str">
        <f t="shared" si="8"/>
        <v>　</v>
      </c>
      <c r="K64" t="str">
        <f t="shared" si="6"/>
        <v/>
      </c>
    </row>
    <row r="65" spans="1:11">
      <c r="A65" s="120"/>
      <c r="B65" s="256"/>
      <c r="C65" s="257"/>
      <c r="D65" s="41"/>
      <c r="E65" s="41"/>
      <c r="F65" s="30" t="str">
        <f t="shared" ref="F65:F86" si="9">IFERROR((E65/1000/60)/((D65/1000)^2*PI()/4),"")</f>
        <v/>
      </c>
      <c r="G65" s="30" t="str">
        <f t="shared" ref="G65:G85" si="10">IFERROR(I65/H65*1000," ")</f>
        <v xml:space="preserve"> </v>
      </c>
      <c r="H65" s="218" t="str">
        <f>IFERROR(INDEX('直管換算表（参考）'!$C$5:$I$29,MATCH(B65,'直管換算表（参考）'!$B$5:$B$29,0),MATCH(D65,'直管換算表（参考）'!$C$4:$I$4,0)),"")</f>
        <v/>
      </c>
      <c r="I65" s="123" t="str">
        <f>IF(D65&lt;=50,J65,K65)</f>
        <v>　</v>
      </c>
      <c r="J65" t="str">
        <f>IFERROR(((0.0126+(0.01739-0.1087*(D65/1000))/SQRT(F65))*H65/(D65/1000)*F65^2/(2*9.8)),"　")</f>
        <v>　</v>
      </c>
      <c r="K65" t="str">
        <f t="shared" si="6"/>
        <v/>
      </c>
    </row>
    <row r="66" spans="1:11">
      <c r="A66" s="113"/>
      <c r="B66" s="246"/>
      <c r="C66" s="247"/>
      <c r="D66" s="4"/>
      <c r="E66" s="4"/>
      <c r="F66" s="2" t="str">
        <f t="shared" si="9"/>
        <v/>
      </c>
      <c r="G66" s="2" t="str">
        <f t="shared" si="10"/>
        <v xml:space="preserve"> </v>
      </c>
      <c r="H66" s="59" t="str">
        <f>IFERROR(INDEX('直管換算表（参考）'!$C$5:$I$29,MATCH(B66,'直管換算表（参考）'!$B$5:$B$29,0),MATCH(D66,'直管換算表（参考）'!$C$4:$I$4,0)),"")</f>
        <v/>
      </c>
      <c r="I66" s="123" t="str">
        <f t="shared" ref="I66:I84" si="11">IF(D66&lt;=50,J66,K66)</f>
        <v>　</v>
      </c>
      <c r="J66" t="str">
        <f t="shared" si="8"/>
        <v>　</v>
      </c>
      <c r="K66" t="str">
        <f t="shared" si="6"/>
        <v/>
      </c>
    </row>
    <row r="67" spans="1:11">
      <c r="A67" s="113"/>
      <c r="B67" s="274"/>
      <c r="C67" s="275"/>
      <c r="D67" s="4"/>
      <c r="E67" s="4"/>
      <c r="F67" s="2" t="str">
        <f t="shared" si="9"/>
        <v/>
      </c>
      <c r="G67" s="2" t="str">
        <f t="shared" si="10"/>
        <v xml:space="preserve"> </v>
      </c>
      <c r="H67" s="59" t="str">
        <f>IFERROR(INDEX('直管換算表（参考）'!$C$5:$I$29,MATCH(B67,'直管換算表（参考）'!$B$5:$B$29,0),MATCH(D67,'直管換算表（参考）'!$C$4:$I$4,0)),"")</f>
        <v/>
      </c>
      <c r="I67" s="123" t="str">
        <f t="shared" si="11"/>
        <v>　</v>
      </c>
      <c r="J67" t="str">
        <f t="shared" si="8"/>
        <v>　</v>
      </c>
      <c r="K67" t="str">
        <f t="shared" si="6"/>
        <v/>
      </c>
    </row>
    <row r="68" spans="1:11">
      <c r="A68" s="113"/>
      <c r="B68" s="274"/>
      <c r="C68" s="275"/>
      <c r="D68" s="4"/>
      <c r="E68" s="4"/>
      <c r="F68" s="2" t="str">
        <f t="shared" si="9"/>
        <v/>
      </c>
      <c r="G68" s="2" t="str">
        <f t="shared" si="10"/>
        <v xml:space="preserve"> </v>
      </c>
      <c r="H68" s="59" t="str">
        <f>IFERROR(INDEX('直管換算表（参考）'!$C$5:$I$29,MATCH(B68,'直管換算表（参考）'!$B$5:$B$29,0),MATCH(D68,'直管換算表（参考）'!$C$4:$I$4,0)),"")</f>
        <v/>
      </c>
      <c r="I68" s="123" t="str">
        <f t="shared" si="11"/>
        <v>　</v>
      </c>
      <c r="J68" t="str">
        <f t="shared" si="8"/>
        <v>　</v>
      </c>
      <c r="K68" t="str">
        <f t="shared" si="6"/>
        <v/>
      </c>
    </row>
    <row r="69" spans="1:11">
      <c r="A69" s="113"/>
      <c r="B69" s="246"/>
      <c r="C69" s="247"/>
      <c r="D69" s="4"/>
      <c r="E69" s="4"/>
      <c r="F69" s="2" t="str">
        <f t="shared" si="9"/>
        <v/>
      </c>
      <c r="G69" s="2" t="str">
        <f t="shared" si="10"/>
        <v xml:space="preserve"> </v>
      </c>
      <c r="H69" s="59" t="str">
        <f>IFERROR(INDEX('直管換算表（参考）'!$C$5:$I$29,MATCH(B69,'直管換算表（参考）'!$B$5:$B$29,0),MATCH(D69,'直管換算表（参考）'!$C$4:$I$4,0)),"")</f>
        <v/>
      </c>
      <c r="I69" s="123" t="str">
        <f t="shared" si="11"/>
        <v>　</v>
      </c>
      <c r="J69" t="str">
        <f t="shared" si="8"/>
        <v>　</v>
      </c>
      <c r="K69" t="str">
        <f t="shared" si="6"/>
        <v/>
      </c>
    </row>
    <row r="70" spans="1:11">
      <c r="A70" s="113"/>
      <c r="B70" s="246"/>
      <c r="C70" s="247"/>
      <c r="D70" s="4"/>
      <c r="E70" s="4"/>
      <c r="F70" s="2" t="str">
        <f t="shared" si="9"/>
        <v/>
      </c>
      <c r="G70" s="2" t="str">
        <f t="shared" si="10"/>
        <v xml:space="preserve"> </v>
      </c>
      <c r="H70" s="59" t="str">
        <f>IFERROR(INDEX('直管換算表（参考）'!$C$5:$I$29,MATCH(B70,'直管換算表（参考）'!$B$5:$B$29,0),MATCH(D70,'直管換算表（参考）'!$C$4:$I$4,0)),"")</f>
        <v/>
      </c>
      <c r="I70" s="123" t="str">
        <f t="shared" si="11"/>
        <v>　</v>
      </c>
      <c r="J70" t="str">
        <f t="shared" si="8"/>
        <v>　</v>
      </c>
      <c r="K70" t="str">
        <f t="shared" si="6"/>
        <v/>
      </c>
    </row>
    <row r="71" spans="1:11">
      <c r="A71" s="113"/>
      <c r="B71" s="274"/>
      <c r="C71" s="275"/>
      <c r="D71" s="4"/>
      <c r="E71" s="4"/>
      <c r="F71" s="2" t="str">
        <f t="shared" si="9"/>
        <v/>
      </c>
      <c r="G71" s="2" t="str">
        <f t="shared" si="10"/>
        <v xml:space="preserve"> </v>
      </c>
      <c r="H71" s="59" t="str">
        <f>IFERROR(INDEX('直管換算表（参考）'!$C$5:$I$29,MATCH(B71,'直管換算表（参考）'!$B$5:$B$29,0),MATCH(D71,'直管換算表（参考）'!$C$4:$I$4,0)),"")</f>
        <v/>
      </c>
      <c r="I71" s="123" t="str">
        <f t="shared" si="11"/>
        <v>　</v>
      </c>
      <c r="J71" t="str">
        <f t="shared" si="8"/>
        <v>　</v>
      </c>
      <c r="K71" t="str">
        <f t="shared" si="6"/>
        <v/>
      </c>
    </row>
    <row r="72" spans="1:11">
      <c r="A72" s="113"/>
      <c r="B72" s="274"/>
      <c r="C72" s="275"/>
      <c r="D72" s="4"/>
      <c r="E72" s="4"/>
      <c r="F72" s="2" t="str">
        <f t="shared" si="9"/>
        <v/>
      </c>
      <c r="G72" s="2" t="str">
        <f t="shared" si="10"/>
        <v xml:space="preserve"> </v>
      </c>
      <c r="H72" s="59" t="str">
        <f>IFERROR(INDEX('直管換算表（参考）'!$C$5:$I$29,MATCH(B72,'直管換算表（参考）'!$B$5:$B$29,0),MATCH(D72,'直管換算表（参考）'!$C$4:$I$4,0)),"")</f>
        <v/>
      </c>
      <c r="I72" s="123" t="str">
        <f t="shared" si="11"/>
        <v>　</v>
      </c>
      <c r="J72" t="str">
        <f t="shared" si="8"/>
        <v>　</v>
      </c>
      <c r="K72" t="str">
        <f t="shared" si="6"/>
        <v/>
      </c>
    </row>
    <row r="73" spans="1:11">
      <c r="A73" s="113"/>
      <c r="B73" s="274"/>
      <c r="C73" s="275"/>
      <c r="D73" s="4"/>
      <c r="E73" s="4"/>
      <c r="F73" s="2" t="str">
        <f t="shared" si="9"/>
        <v/>
      </c>
      <c r="G73" s="2" t="str">
        <f t="shared" si="10"/>
        <v xml:space="preserve"> </v>
      </c>
      <c r="H73" s="59" t="str">
        <f>IFERROR(INDEX('直管換算表（参考）'!$C$5:$I$29,MATCH(B73,'直管換算表（参考）'!$B$5:$B$29,0),MATCH(D73,'直管換算表（参考）'!$C$4:$I$4,0)),"")</f>
        <v/>
      </c>
      <c r="I73" s="123" t="str">
        <f t="shared" si="11"/>
        <v>　</v>
      </c>
      <c r="J73" t="str">
        <f t="shared" si="8"/>
        <v>　</v>
      </c>
      <c r="K73" t="str">
        <f t="shared" si="6"/>
        <v/>
      </c>
    </row>
    <row r="74" spans="1:11">
      <c r="A74" s="132"/>
      <c r="B74" s="274"/>
      <c r="C74" s="275"/>
      <c r="D74" s="4"/>
      <c r="E74" s="4"/>
      <c r="F74" s="2" t="str">
        <f t="shared" si="9"/>
        <v/>
      </c>
      <c r="G74" s="2" t="str">
        <f t="shared" si="10"/>
        <v xml:space="preserve"> </v>
      </c>
      <c r="H74" s="59" t="str">
        <f>IFERROR(INDEX('直管換算表（参考）'!$C$5:$I$29,MATCH(B74,'直管換算表（参考）'!$B$5:$B$29,0),MATCH(D74,'直管換算表（参考）'!$C$4:$I$4,0)),"")</f>
        <v/>
      </c>
      <c r="I74" s="123" t="str">
        <f t="shared" si="11"/>
        <v>　</v>
      </c>
      <c r="J74" t="str">
        <f t="shared" si="8"/>
        <v>　</v>
      </c>
      <c r="K74" t="str">
        <f t="shared" si="6"/>
        <v/>
      </c>
    </row>
    <row r="75" spans="1:11">
      <c r="A75" s="113"/>
      <c r="B75" s="274"/>
      <c r="C75" s="275"/>
      <c r="D75" s="4"/>
      <c r="E75" s="4"/>
      <c r="F75" s="2" t="str">
        <f t="shared" si="9"/>
        <v/>
      </c>
      <c r="G75" s="2" t="str">
        <f t="shared" si="10"/>
        <v xml:space="preserve"> </v>
      </c>
      <c r="H75" s="59"/>
      <c r="I75" s="123" t="str">
        <f t="shared" si="11"/>
        <v>　</v>
      </c>
      <c r="J75" t="str">
        <f t="shared" si="8"/>
        <v>　</v>
      </c>
      <c r="K75" t="str">
        <f t="shared" si="6"/>
        <v/>
      </c>
    </row>
    <row r="76" spans="1:11">
      <c r="A76" s="115"/>
      <c r="B76" s="246"/>
      <c r="C76" s="247"/>
      <c r="D76" s="29"/>
      <c r="E76" s="28"/>
      <c r="F76" s="26" t="str">
        <f t="shared" si="9"/>
        <v/>
      </c>
      <c r="G76" s="26" t="str">
        <f t="shared" si="10"/>
        <v xml:space="preserve"> </v>
      </c>
      <c r="H76" s="59" t="str">
        <f>IFERROR(INDEX('直管換算表（参考）'!$C$5:$I$29,MATCH(B76,'直管換算表（参考）'!$B$5:$B$29,0),MATCH(D76,'直管換算表（参考）'!$C$4:$I$4,0)),"")</f>
        <v/>
      </c>
      <c r="I76" s="123" t="str">
        <f t="shared" si="11"/>
        <v>　</v>
      </c>
      <c r="J76" t="str">
        <f t="shared" si="8"/>
        <v>　</v>
      </c>
      <c r="K76" t="str">
        <f t="shared" si="6"/>
        <v/>
      </c>
    </row>
    <row r="77" spans="1:11">
      <c r="A77" s="113"/>
      <c r="B77" s="246"/>
      <c r="C77" s="247"/>
      <c r="D77" s="4"/>
      <c r="E77" s="4"/>
      <c r="F77" s="2" t="str">
        <f t="shared" si="9"/>
        <v/>
      </c>
      <c r="G77" s="2" t="str">
        <f t="shared" si="10"/>
        <v xml:space="preserve"> </v>
      </c>
      <c r="H77" s="59" t="str">
        <f>IFERROR(INDEX('直管換算表（参考）'!$C$5:$I$29,MATCH(B77,'直管換算表（参考）'!$B$5:$B$29,0),MATCH(D77,'直管換算表（参考）'!$C$4:$I$4,0)),"")</f>
        <v/>
      </c>
      <c r="I77" s="123" t="str">
        <f t="shared" si="11"/>
        <v>　</v>
      </c>
      <c r="J77" t="str">
        <f t="shared" si="8"/>
        <v>　</v>
      </c>
      <c r="K77" t="str">
        <f t="shared" si="6"/>
        <v/>
      </c>
    </row>
    <row r="78" spans="1:11">
      <c r="A78" s="113"/>
      <c r="B78" s="246"/>
      <c r="C78" s="247"/>
      <c r="D78" s="4"/>
      <c r="E78" s="4"/>
      <c r="F78" s="2" t="str">
        <f t="shared" si="9"/>
        <v/>
      </c>
      <c r="G78" s="2" t="str">
        <f t="shared" si="10"/>
        <v xml:space="preserve"> </v>
      </c>
      <c r="H78" s="59" t="str">
        <f>IFERROR(INDEX('直管換算表（参考）'!$C$5:$I$29,MATCH(B78,'直管換算表（参考）'!$B$5:$B$29,0),MATCH(D78,'直管換算表（参考）'!$C$4:$I$4,0)),"")</f>
        <v/>
      </c>
      <c r="I78" s="123" t="str">
        <f t="shared" si="11"/>
        <v>　</v>
      </c>
      <c r="J78" t="str">
        <f t="shared" si="8"/>
        <v>　</v>
      </c>
      <c r="K78" t="str">
        <f t="shared" si="6"/>
        <v/>
      </c>
    </row>
    <row r="79" spans="1:11">
      <c r="A79" s="113"/>
      <c r="B79" s="246"/>
      <c r="C79" s="247"/>
      <c r="D79" s="42"/>
      <c r="E79" s="4"/>
      <c r="F79" s="2" t="str">
        <f t="shared" si="9"/>
        <v/>
      </c>
      <c r="G79" s="2" t="str">
        <f t="shared" si="10"/>
        <v xml:space="preserve"> </v>
      </c>
      <c r="H79" s="59" t="str">
        <f>IFERROR(INDEX('直管換算表（参考）'!$C$5:$I$29,MATCH(B79,'直管換算表（参考）'!$B$5:$B$29,0),MATCH(D79,'直管換算表（参考）'!$C$4:$I$4,0)),"")</f>
        <v/>
      </c>
      <c r="I79" s="123" t="str">
        <f t="shared" si="11"/>
        <v>　</v>
      </c>
      <c r="J79" t="str">
        <f t="shared" si="8"/>
        <v>　</v>
      </c>
      <c r="K79" t="str">
        <f t="shared" si="6"/>
        <v/>
      </c>
    </row>
    <row r="80" spans="1:11">
      <c r="A80" s="113"/>
      <c r="B80" s="246"/>
      <c r="C80" s="247"/>
      <c r="D80" s="42"/>
      <c r="E80" s="4"/>
      <c r="F80" s="2" t="str">
        <f t="shared" si="9"/>
        <v/>
      </c>
      <c r="G80" s="2" t="str">
        <f t="shared" si="10"/>
        <v xml:space="preserve"> </v>
      </c>
      <c r="H80" s="59" t="str">
        <f>IFERROR(INDEX('直管換算表（参考）'!$C$5:$I$29,MATCH(B80,'直管換算表（参考）'!$B$5:$B$29,0),MATCH(D80,'直管換算表（参考）'!$C$4:$I$4,0)),"")</f>
        <v/>
      </c>
      <c r="I80" s="123" t="str">
        <f t="shared" si="11"/>
        <v>　</v>
      </c>
      <c r="J80" t="str">
        <f t="shared" si="8"/>
        <v>　</v>
      </c>
      <c r="K80" t="str">
        <f t="shared" si="6"/>
        <v/>
      </c>
    </row>
    <row r="81" spans="1:11">
      <c r="A81" s="113"/>
      <c r="B81" s="246"/>
      <c r="C81" s="247"/>
      <c r="D81" s="42"/>
      <c r="E81" s="4"/>
      <c r="F81" s="2" t="str">
        <f t="shared" si="9"/>
        <v/>
      </c>
      <c r="G81" s="2" t="str">
        <f t="shared" si="10"/>
        <v xml:space="preserve"> </v>
      </c>
      <c r="H81" s="59" t="str">
        <f>IFERROR(INDEX('直管換算表（参考）'!$C$5:$I$29,MATCH(B81,'直管換算表（参考）'!$B$5:$B$29,0),MATCH(D81,'直管換算表（参考）'!$C$4:$I$4,0)),"")</f>
        <v/>
      </c>
      <c r="I81" s="123" t="str">
        <f t="shared" si="11"/>
        <v>　</v>
      </c>
      <c r="J81" t="str">
        <f t="shared" si="8"/>
        <v>　</v>
      </c>
      <c r="K81" t="str">
        <f t="shared" si="6"/>
        <v/>
      </c>
    </row>
    <row r="82" spans="1:11">
      <c r="A82" s="113"/>
      <c r="B82" s="246"/>
      <c r="C82" s="247"/>
      <c r="D82" s="42"/>
      <c r="E82" s="4"/>
      <c r="F82" s="2" t="str">
        <f t="shared" si="9"/>
        <v/>
      </c>
      <c r="G82" s="2" t="str">
        <f t="shared" si="10"/>
        <v xml:space="preserve"> </v>
      </c>
      <c r="H82" s="59" t="str">
        <f>IFERROR(INDEX('直管換算表（参考）'!$C$5:$I$29,MATCH(B82,'直管換算表（参考）'!$B$5:$B$29,0),MATCH(D82,'直管換算表（参考）'!$C$4:$I$4,0)),"")</f>
        <v/>
      </c>
      <c r="I82" s="123" t="str">
        <f t="shared" si="11"/>
        <v>　</v>
      </c>
      <c r="J82" t="str">
        <f t="shared" si="8"/>
        <v>　</v>
      </c>
      <c r="K82" t="str">
        <f t="shared" si="6"/>
        <v/>
      </c>
    </row>
    <row r="83" spans="1:11">
      <c r="A83" s="113"/>
      <c r="B83" s="246"/>
      <c r="C83" s="247"/>
      <c r="D83" s="42"/>
      <c r="E83" s="4"/>
      <c r="F83" s="2" t="str">
        <f t="shared" si="9"/>
        <v/>
      </c>
      <c r="G83" s="2" t="str">
        <f t="shared" si="10"/>
        <v xml:space="preserve"> </v>
      </c>
      <c r="H83" s="59" t="str">
        <f>IFERROR(INDEX('直管換算表（参考）'!$C$5:$I$29,MATCH(B83,'直管換算表（参考）'!$B$5:$B$29,0),MATCH(D83,'直管換算表（参考）'!$C$4:$I$4,0)),"")</f>
        <v/>
      </c>
      <c r="I83" s="123" t="str">
        <f t="shared" si="11"/>
        <v>　</v>
      </c>
      <c r="J83" t="str">
        <f t="shared" si="8"/>
        <v>　</v>
      </c>
      <c r="K83" t="str">
        <f t="shared" si="6"/>
        <v/>
      </c>
    </row>
    <row r="84" spans="1:11">
      <c r="A84" s="113"/>
      <c r="B84" s="246"/>
      <c r="C84" s="247"/>
      <c r="D84" s="42"/>
      <c r="E84" s="4"/>
      <c r="F84" s="2" t="str">
        <f t="shared" si="9"/>
        <v/>
      </c>
      <c r="G84" s="2" t="str">
        <f t="shared" si="10"/>
        <v xml:space="preserve"> </v>
      </c>
      <c r="H84" s="59" t="str">
        <f>IFERROR(INDEX('直管換算表（参考）'!$C$5:$I$29,MATCH(B84,'直管換算表（参考）'!$B$5:$B$29,0),MATCH(D84,'直管換算表（参考）'!$C$4:$I$4,0)),"")</f>
        <v/>
      </c>
      <c r="I84" s="123" t="str">
        <f t="shared" si="11"/>
        <v>　</v>
      </c>
      <c r="J84" t="str">
        <f t="shared" si="8"/>
        <v>　</v>
      </c>
      <c r="K84" t="str">
        <f t="shared" si="6"/>
        <v/>
      </c>
    </row>
    <row r="85" spans="1:11" ht="14.25" thickBot="1">
      <c r="A85" s="133"/>
      <c r="B85" s="306"/>
      <c r="C85" s="307"/>
      <c r="D85" s="43"/>
      <c r="E85" s="31"/>
      <c r="F85" s="32" t="str">
        <f t="shared" si="9"/>
        <v/>
      </c>
      <c r="G85" s="32" t="str">
        <f t="shared" si="10"/>
        <v xml:space="preserve"> </v>
      </c>
      <c r="H85" s="241" t="str">
        <f>IFERROR(INDEX('直管換算表（参考）'!$C$5:$I$29,MATCH(B85,'直管換算表（参考）'!$B$5:$B$29,0),MATCH(D85,'直管換算表（参考）'!$C$4:$I$4,0)),"")</f>
        <v/>
      </c>
      <c r="I85" s="146" t="str">
        <f>IF(D85&lt;=50,J85,K85)</f>
        <v>　</v>
      </c>
      <c r="J85" t="str">
        <f t="shared" si="8"/>
        <v>　</v>
      </c>
      <c r="K85" t="str">
        <f t="shared" si="6"/>
        <v/>
      </c>
    </row>
    <row r="86" spans="1:11" ht="14.25" thickTop="1">
      <c r="A86" s="67"/>
      <c r="B86" s="2" t="s">
        <v>86</v>
      </c>
      <c r="C86" s="2"/>
      <c r="D86" s="4"/>
      <c r="E86" s="2"/>
      <c r="F86" s="2" t="str">
        <f t="shared" si="9"/>
        <v/>
      </c>
      <c r="G86" s="2"/>
      <c r="H86" s="3" t="str">
        <f>IFERROR(INDEX('直管換算表（参考）'!$C$5:$I$29,MATCH(B86,'直管換算表（参考）'!$B$5:$B$29,0),MATCH(D86,'直管換算表（参考）'!$C$4:$I$4,0)),"")</f>
        <v/>
      </c>
      <c r="I86" s="123" t="str">
        <f>IF(D86&gt;0,1,"")</f>
        <v/>
      </c>
    </row>
    <row r="87" spans="1:11">
      <c r="A87" s="67"/>
      <c r="B87" s="2" t="s">
        <v>76</v>
      </c>
      <c r="C87" s="2"/>
      <c r="D87" s="3"/>
      <c r="E87" s="2"/>
      <c r="F87" s="2"/>
      <c r="G87" s="39"/>
      <c r="H87" s="40"/>
      <c r="I87" s="134"/>
      <c r="J87" s="18" t="str">
        <f>IF(I87&gt;10,"エラー　制限高超え","")</f>
        <v/>
      </c>
    </row>
    <row r="88" spans="1:11">
      <c r="A88" s="67"/>
      <c r="B88" s="14" t="s">
        <v>186</v>
      </c>
      <c r="C88" s="16"/>
      <c r="D88" s="15"/>
      <c r="E88" s="16"/>
      <c r="F88" s="16"/>
      <c r="G88" s="16"/>
      <c r="H88" s="17"/>
      <c r="I88" s="134"/>
      <c r="J88" s="8"/>
      <c r="K88" s="8"/>
    </row>
    <row r="89" spans="1:11" ht="14.25" thickBot="1">
      <c r="A89" s="72"/>
      <c r="B89" s="135" t="s">
        <v>125</v>
      </c>
      <c r="C89" s="136"/>
      <c r="D89" s="136"/>
      <c r="E89" s="136"/>
      <c r="F89" s="136"/>
      <c r="G89" s="136"/>
      <c r="H89" s="137"/>
      <c r="I89" s="116" t="str">
        <f>IF(SUM(I65:I88),SUM(I65:I88)," ")</f>
        <v xml:space="preserve"> </v>
      </c>
    </row>
    <row r="90" spans="1:11" ht="15" thickBot="1">
      <c r="A90" s="130" t="s">
        <v>193</v>
      </c>
    </row>
    <row r="91" spans="1:11" ht="13.5" customHeight="1">
      <c r="A91" s="262" t="s">
        <v>55</v>
      </c>
      <c r="B91" s="252" t="s">
        <v>153</v>
      </c>
      <c r="C91" s="264"/>
      <c r="D91" s="117" t="s">
        <v>32</v>
      </c>
      <c r="E91" s="112" t="s">
        <v>45</v>
      </c>
      <c r="F91" s="112" t="s">
        <v>77</v>
      </c>
      <c r="G91" s="112" t="s">
        <v>43</v>
      </c>
      <c r="H91" s="112" t="s">
        <v>152</v>
      </c>
      <c r="I91" s="66" t="s">
        <v>44</v>
      </c>
      <c r="J91" s="245" t="s">
        <v>162</v>
      </c>
      <c r="K91" s="245" t="s">
        <v>161</v>
      </c>
    </row>
    <row r="92" spans="1:11" ht="14.25" thickBot="1">
      <c r="A92" s="263"/>
      <c r="B92" s="254"/>
      <c r="C92" s="265"/>
      <c r="D92" s="124" t="s">
        <v>83</v>
      </c>
      <c r="E92" s="125" t="s">
        <v>168</v>
      </c>
      <c r="F92" s="125" t="s">
        <v>82</v>
      </c>
      <c r="G92" s="125" t="s">
        <v>81</v>
      </c>
      <c r="H92" s="125" t="s">
        <v>85</v>
      </c>
      <c r="I92" s="126" t="s">
        <v>84</v>
      </c>
      <c r="J92" s="245"/>
      <c r="K92" s="245"/>
    </row>
    <row r="93" spans="1:11">
      <c r="A93" s="120"/>
      <c r="B93" s="266" t="s">
        <v>46</v>
      </c>
      <c r="C93" s="267"/>
      <c r="D93" s="121"/>
      <c r="E93" s="122"/>
      <c r="F93" s="30" t="str">
        <f t="shared" ref="F93:F103" si="12">IFERROR((E93/1000/60)/((D93/1000)^2*PI()/4),"  ")</f>
        <v xml:space="preserve">  </v>
      </c>
      <c r="G93" s="30" t="str">
        <f t="shared" ref="G93:G103" si="13">IFERROR(I93/H93*1000," ")</f>
        <v xml:space="preserve"> </v>
      </c>
      <c r="H93" s="122"/>
      <c r="I93" s="123" t="str">
        <f>IF(D93&lt;=50,J93,K93)</f>
        <v>　</v>
      </c>
      <c r="J93" t="str">
        <f>IFERROR(((0.0126+(0.01739-0.1087*(D93/1000))/SQRT(F93))*H93/(D93/1000)*F93^2/(2*9.8)),"　")</f>
        <v>　</v>
      </c>
      <c r="K93" t="str">
        <f t="shared" ref="K93:K103" si="14">IFERROR(10.666*(140^(-1.85) )*((D93/1000)^(-4.87))*(((E93/1000)/60)^1.85)*H93,"")</f>
        <v/>
      </c>
    </row>
    <row r="94" spans="1:11">
      <c r="A94" s="113"/>
      <c r="B94" s="268" t="s">
        <v>47</v>
      </c>
      <c r="C94" s="269"/>
      <c r="D94" s="118"/>
      <c r="E94" s="6"/>
      <c r="F94" s="2" t="str">
        <f t="shared" si="12"/>
        <v xml:space="preserve">  </v>
      </c>
      <c r="G94" s="2" t="str">
        <f t="shared" si="13"/>
        <v xml:space="preserve"> </v>
      </c>
      <c r="H94" s="6"/>
      <c r="I94" s="114" t="str">
        <f t="shared" ref="I94:I101" si="15">IF(D94&lt;=50,J94,K94)</f>
        <v>　</v>
      </c>
      <c r="J94" t="str">
        <f t="shared" ref="J94:J103" si="16">IFERROR(((0.0126+(0.01739-0.1087*(D94/1000))/SQRT(F94))*H94/(D94/1000)*F94^2/(2*9.8)),"　")</f>
        <v>　</v>
      </c>
      <c r="K94" t="str">
        <f t="shared" si="14"/>
        <v/>
      </c>
    </row>
    <row r="95" spans="1:11">
      <c r="A95" s="113"/>
      <c r="B95" s="268" t="s">
        <v>48</v>
      </c>
      <c r="C95" s="269"/>
      <c r="D95" s="118"/>
      <c r="E95" s="6"/>
      <c r="F95" s="2" t="str">
        <f t="shared" si="12"/>
        <v xml:space="preserve">  </v>
      </c>
      <c r="G95" s="2" t="str">
        <f t="shared" si="13"/>
        <v xml:space="preserve"> </v>
      </c>
      <c r="H95" s="6"/>
      <c r="I95" s="114" t="str">
        <f t="shared" si="15"/>
        <v>　</v>
      </c>
      <c r="J95" t="str">
        <f t="shared" si="16"/>
        <v>　</v>
      </c>
      <c r="K95" t="str">
        <f t="shared" si="14"/>
        <v/>
      </c>
    </row>
    <row r="96" spans="1:11">
      <c r="A96" s="113"/>
      <c r="B96" s="268" t="s">
        <v>49</v>
      </c>
      <c r="C96" s="269"/>
      <c r="D96" s="118"/>
      <c r="E96" s="6"/>
      <c r="F96" s="2" t="str">
        <f t="shared" si="12"/>
        <v xml:space="preserve">  </v>
      </c>
      <c r="G96" s="2" t="str">
        <f t="shared" si="13"/>
        <v xml:space="preserve"> </v>
      </c>
      <c r="H96" s="6"/>
      <c r="I96" s="114" t="str">
        <f t="shared" si="15"/>
        <v>　</v>
      </c>
      <c r="J96" t="str">
        <f t="shared" si="16"/>
        <v>　</v>
      </c>
      <c r="K96" t="str">
        <f t="shared" si="14"/>
        <v/>
      </c>
    </row>
    <row r="97" spans="1:11">
      <c r="A97" s="113"/>
      <c r="B97" s="268" t="s">
        <v>50</v>
      </c>
      <c r="C97" s="269"/>
      <c r="D97" s="118"/>
      <c r="E97" s="6"/>
      <c r="F97" s="2" t="str">
        <f t="shared" si="12"/>
        <v xml:space="preserve">  </v>
      </c>
      <c r="G97" s="2" t="str">
        <f t="shared" si="13"/>
        <v xml:space="preserve"> </v>
      </c>
      <c r="H97" s="6"/>
      <c r="I97" s="114" t="str">
        <f t="shared" si="15"/>
        <v>　</v>
      </c>
      <c r="J97" t="str">
        <f t="shared" si="16"/>
        <v>　</v>
      </c>
      <c r="K97" t="str">
        <f t="shared" si="14"/>
        <v/>
      </c>
    </row>
    <row r="98" spans="1:11">
      <c r="A98" s="113"/>
      <c r="B98" s="268" t="s">
        <v>51</v>
      </c>
      <c r="C98" s="269"/>
      <c r="D98" s="118"/>
      <c r="E98" s="6"/>
      <c r="F98" s="2" t="str">
        <f t="shared" si="12"/>
        <v xml:space="preserve">  </v>
      </c>
      <c r="G98" s="2" t="str">
        <f t="shared" si="13"/>
        <v xml:space="preserve"> </v>
      </c>
      <c r="H98" s="6"/>
      <c r="I98" s="114" t="str">
        <f t="shared" si="15"/>
        <v>　</v>
      </c>
      <c r="J98" t="str">
        <f t="shared" si="16"/>
        <v>　</v>
      </c>
      <c r="K98" t="str">
        <f t="shared" si="14"/>
        <v/>
      </c>
    </row>
    <row r="99" spans="1:11">
      <c r="A99" s="113"/>
      <c r="B99" s="268" t="s">
        <v>52</v>
      </c>
      <c r="C99" s="269"/>
      <c r="D99" s="118"/>
      <c r="E99" s="6"/>
      <c r="F99" s="2" t="str">
        <f t="shared" si="12"/>
        <v xml:space="preserve">  </v>
      </c>
      <c r="G99" s="2" t="str">
        <f t="shared" si="13"/>
        <v xml:space="preserve"> </v>
      </c>
      <c r="H99" s="6"/>
      <c r="I99" s="114" t="str">
        <f t="shared" si="15"/>
        <v>　</v>
      </c>
      <c r="J99" t="str">
        <f t="shared" si="16"/>
        <v>　</v>
      </c>
      <c r="K99" t="str">
        <f t="shared" si="14"/>
        <v/>
      </c>
    </row>
    <row r="100" spans="1:11">
      <c r="A100" s="113"/>
      <c r="B100" s="268" t="s">
        <v>53</v>
      </c>
      <c r="C100" s="269"/>
      <c r="D100" s="118"/>
      <c r="E100" s="6"/>
      <c r="F100" s="2" t="str">
        <f t="shared" si="12"/>
        <v xml:space="preserve">  </v>
      </c>
      <c r="G100" s="2" t="str">
        <f t="shared" si="13"/>
        <v xml:space="preserve"> </v>
      </c>
      <c r="H100" s="6"/>
      <c r="I100" s="114" t="str">
        <f t="shared" si="15"/>
        <v>　</v>
      </c>
      <c r="J100" t="str">
        <f t="shared" si="16"/>
        <v>　</v>
      </c>
      <c r="K100" t="str">
        <f t="shared" si="14"/>
        <v/>
      </c>
    </row>
    <row r="101" spans="1:11">
      <c r="A101" s="113"/>
      <c r="B101" s="268" t="s">
        <v>54</v>
      </c>
      <c r="C101" s="269"/>
      <c r="D101" s="118"/>
      <c r="E101" s="6"/>
      <c r="F101" s="2" t="str">
        <f t="shared" si="12"/>
        <v xml:space="preserve">  </v>
      </c>
      <c r="G101" s="2" t="str">
        <f t="shared" si="13"/>
        <v xml:space="preserve"> </v>
      </c>
      <c r="H101" s="6"/>
      <c r="I101" s="114" t="str">
        <f t="shared" si="15"/>
        <v>　</v>
      </c>
      <c r="J101" t="str">
        <f t="shared" si="16"/>
        <v>　</v>
      </c>
      <c r="K101" t="str">
        <f t="shared" si="14"/>
        <v/>
      </c>
    </row>
    <row r="102" spans="1:11">
      <c r="A102" s="120"/>
      <c r="B102" s="258" t="s">
        <v>175</v>
      </c>
      <c r="C102" s="259"/>
      <c r="D102" s="121"/>
      <c r="E102" s="122"/>
      <c r="F102" s="30" t="str">
        <f t="shared" si="12"/>
        <v xml:space="preserve">  </v>
      </c>
      <c r="G102" s="30" t="str">
        <f t="shared" si="13"/>
        <v xml:space="preserve"> </v>
      </c>
      <c r="H102" s="122"/>
      <c r="I102" s="123" t="str">
        <f>IF(D102&lt;=50,J102,K102)</f>
        <v>　</v>
      </c>
      <c r="J102" t="str">
        <f t="shared" si="16"/>
        <v>　</v>
      </c>
      <c r="K102" t="str">
        <f t="shared" si="14"/>
        <v/>
      </c>
    </row>
    <row r="103" spans="1:11" ht="14.25" thickBot="1">
      <c r="A103" s="119"/>
      <c r="B103" s="260" t="s">
        <v>176</v>
      </c>
      <c r="C103" s="261"/>
      <c r="D103" s="118"/>
      <c r="E103" s="6"/>
      <c r="F103" s="26" t="str">
        <f t="shared" si="12"/>
        <v xml:space="preserve">  </v>
      </c>
      <c r="G103" s="26" t="str">
        <f t="shared" si="13"/>
        <v xml:space="preserve"> </v>
      </c>
      <c r="H103" s="6"/>
      <c r="I103" s="114" t="str">
        <f t="shared" ref="I103" si="17">IF(D103&lt;=50,J103,K103)</f>
        <v>　</v>
      </c>
      <c r="J103" t="str">
        <f t="shared" si="16"/>
        <v>　</v>
      </c>
      <c r="K103" t="str">
        <f t="shared" si="14"/>
        <v/>
      </c>
    </row>
    <row r="104" spans="1:11" ht="14.25" thickBot="1">
      <c r="A104" s="248" t="s">
        <v>57</v>
      </c>
      <c r="B104" s="249"/>
      <c r="C104" s="249"/>
      <c r="D104" s="250"/>
      <c r="E104" s="250"/>
      <c r="F104" s="250"/>
      <c r="G104" s="250"/>
      <c r="H104" s="251"/>
      <c r="I104" s="116" t="str">
        <f>IF(SUM(I93:I103),SUM(I93:I103)," ")</f>
        <v xml:space="preserve"> </v>
      </c>
      <c r="K104" t="str">
        <f>IFERROR(10.666*140^(-1.85) *(D104/1000)^(-4.87)*E104^1.85*H104,"")</f>
        <v/>
      </c>
    </row>
    <row r="105" spans="1:11">
      <c r="A105" s="8"/>
    </row>
    <row r="106" spans="1:11" ht="15" thickBot="1">
      <c r="A106" s="131" t="s">
        <v>194</v>
      </c>
      <c r="C106" s="192" t="s">
        <v>230</v>
      </c>
    </row>
    <row r="107" spans="1:11">
      <c r="A107" s="262" t="s">
        <v>55</v>
      </c>
      <c r="B107" s="252" t="s">
        <v>75</v>
      </c>
      <c r="C107" s="253"/>
      <c r="D107" s="112" t="s">
        <v>126</v>
      </c>
      <c r="E107" s="112" t="s">
        <v>45</v>
      </c>
      <c r="F107" s="112" t="s">
        <v>77</v>
      </c>
      <c r="G107" s="112" t="s">
        <v>43</v>
      </c>
      <c r="H107" s="112" t="s">
        <v>66</v>
      </c>
      <c r="I107" s="66" t="s">
        <v>44</v>
      </c>
    </row>
    <row r="108" spans="1:11" ht="14.25" thickBot="1">
      <c r="A108" s="263"/>
      <c r="B108" s="254"/>
      <c r="C108" s="255"/>
      <c r="D108" s="125" t="s">
        <v>83</v>
      </c>
      <c r="E108" s="125" t="s">
        <v>172</v>
      </c>
      <c r="F108" s="125" t="s">
        <v>82</v>
      </c>
      <c r="G108" s="125" t="s">
        <v>81</v>
      </c>
      <c r="H108" s="125" t="s">
        <v>85</v>
      </c>
      <c r="I108" s="126" t="s">
        <v>84</v>
      </c>
    </row>
    <row r="109" spans="1:11">
      <c r="A109" s="120"/>
      <c r="B109" s="256"/>
      <c r="C109" s="257"/>
      <c r="D109" s="41"/>
      <c r="E109" s="41"/>
      <c r="F109" s="30" t="str">
        <f t="shared" ref="F109:F130" si="18">IFERROR((E109/1000/60)/((D109/1000)^2*PI()/4),"")</f>
        <v/>
      </c>
      <c r="G109" s="30" t="str">
        <f t="shared" ref="G109:G129" si="19">IFERROR(I109/H109*1000," ")</f>
        <v xml:space="preserve"> </v>
      </c>
      <c r="H109" s="218" t="str">
        <f>IFERROR(INDEX('直管換算表（参考）'!$C$5:$I$29,MATCH(B109,'直管換算表（参考）'!$B$5:$B$29,0),MATCH(D109,'直管換算表（参考）'!$C$4:$I$4,0)),"")</f>
        <v/>
      </c>
      <c r="I109" s="123" t="str">
        <f>IF(D109&lt;=50,J109,K109)</f>
        <v>　</v>
      </c>
      <c r="J109" t="str">
        <f>IFERROR(((0.0126+(0.01739-0.1087*(D109/1000))/SQRT(F109))*H109/(D109/1000)*F109^2/(2*9.8)),"　")</f>
        <v>　</v>
      </c>
      <c r="K109" t="str">
        <f>IFERROR(10.666*(140^(-1.85) )*((D109/1000)^(-4.87))*(((E109/1000)/60)^1.85)*H109,"")</f>
        <v/>
      </c>
    </row>
    <row r="110" spans="1:11">
      <c r="A110" s="113"/>
      <c r="B110" s="246"/>
      <c r="C110" s="247"/>
      <c r="D110" s="4"/>
      <c r="E110" s="4"/>
      <c r="F110" s="2" t="str">
        <f t="shared" si="18"/>
        <v/>
      </c>
      <c r="G110" s="2" t="str">
        <f t="shared" si="19"/>
        <v xml:space="preserve"> </v>
      </c>
      <c r="H110" s="59" t="str">
        <f>IFERROR(INDEX('直管換算表（参考）'!$C$5:$I$29,MATCH(B110,'直管換算表（参考）'!$B$5:$B$29,0),MATCH(D110,'直管換算表（参考）'!$C$4:$I$4,0)),"")</f>
        <v/>
      </c>
      <c r="I110" s="123" t="str">
        <f t="shared" ref="I110:I129" si="20">IF(D110&lt;=50,J110,K110)</f>
        <v>　</v>
      </c>
      <c r="J110" t="str">
        <f t="shared" ref="J110:J129" si="21">IFERROR(((0.0126+(0.01739-0.1087*(D110/1000))/SQRT(F110))*H110/(D110/1000)*F110^2/(2*9.8)),"　")</f>
        <v>　</v>
      </c>
      <c r="K110" t="str">
        <f t="shared" ref="K110:K129" si="22">IFERROR(10.666*(140^(-1.85) )*((D110/1000)^(-4.87))*(((E110/1000)/60)^1.85)*H110,"")</f>
        <v/>
      </c>
    </row>
    <row r="111" spans="1:11">
      <c r="A111" s="113"/>
      <c r="B111" s="274"/>
      <c r="C111" s="275"/>
      <c r="D111" s="4"/>
      <c r="E111" s="4"/>
      <c r="F111" s="2" t="str">
        <f t="shared" si="18"/>
        <v/>
      </c>
      <c r="G111" s="2" t="str">
        <f t="shared" si="19"/>
        <v xml:space="preserve"> </v>
      </c>
      <c r="H111" s="59" t="str">
        <f>IFERROR(INDEX('直管換算表（参考）'!$C$5:$I$29,MATCH(B111,'直管換算表（参考）'!$B$5:$B$29,0),MATCH(D111,'直管換算表（参考）'!$C$4:$I$4,0)),"")</f>
        <v/>
      </c>
      <c r="I111" s="123" t="str">
        <f t="shared" si="20"/>
        <v>　</v>
      </c>
      <c r="J111" t="str">
        <f t="shared" si="21"/>
        <v>　</v>
      </c>
      <c r="K111" t="str">
        <f t="shared" si="22"/>
        <v/>
      </c>
    </row>
    <row r="112" spans="1:11">
      <c r="A112" s="113"/>
      <c r="B112" s="274"/>
      <c r="C112" s="275"/>
      <c r="D112" s="4"/>
      <c r="E112" s="4"/>
      <c r="F112" s="2" t="str">
        <f t="shared" si="18"/>
        <v/>
      </c>
      <c r="G112" s="2" t="str">
        <f t="shared" si="19"/>
        <v xml:space="preserve"> </v>
      </c>
      <c r="H112" s="59" t="str">
        <f>IFERROR(INDEX('直管換算表（参考）'!$C$5:$I$29,MATCH(B112,'直管換算表（参考）'!$B$5:$B$29,0),MATCH(D112,'直管換算表（参考）'!$C$4:$I$4,0)),"")</f>
        <v/>
      </c>
      <c r="I112" s="123" t="str">
        <f t="shared" si="20"/>
        <v>　</v>
      </c>
      <c r="J112" t="str">
        <f t="shared" si="21"/>
        <v>　</v>
      </c>
      <c r="K112" t="str">
        <f t="shared" si="22"/>
        <v/>
      </c>
    </row>
    <row r="113" spans="1:11">
      <c r="A113" s="113"/>
      <c r="B113" s="246"/>
      <c r="C113" s="247"/>
      <c r="D113" s="4"/>
      <c r="E113" s="4"/>
      <c r="F113" s="2" t="str">
        <f t="shared" si="18"/>
        <v/>
      </c>
      <c r="G113" s="2" t="str">
        <f t="shared" si="19"/>
        <v xml:space="preserve"> </v>
      </c>
      <c r="H113" s="59" t="str">
        <f>IFERROR(INDEX('直管換算表（参考）'!$C$5:$I$29,MATCH(B113,'直管換算表（参考）'!$B$5:$B$29,0),MATCH(D113,'直管換算表（参考）'!$C$4:$I$4,0)),"")</f>
        <v/>
      </c>
      <c r="I113" s="123" t="str">
        <f t="shared" si="20"/>
        <v>　</v>
      </c>
      <c r="J113" t="str">
        <f t="shared" si="21"/>
        <v>　</v>
      </c>
      <c r="K113" t="str">
        <f t="shared" si="22"/>
        <v/>
      </c>
    </row>
    <row r="114" spans="1:11">
      <c r="A114" s="113"/>
      <c r="B114" s="246"/>
      <c r="C114" s="247"/>
      <c r="D114" s="4"/>
      <c r="E114" s="4"/>
      <c r="F114" s="2" t="str">
        <f t="shared" si="18"/>
        <v/>
      </c>
      <c r="G114" s="2" t="str">
        <f t="shared" si="19"/>
        <v xml:space="preserve"> </v>
      </c>
      <c r="H114" s="59" t="str">
        <f>IFERROR(INDEX('直管換算表（参考）'!$C$5:$I$29,MATCH(B114,'直管換算表（参考）'!$B$5:$B$29,0),MATCH(D114,'直管換算表（参考）'!$C$4:$I$4,0)),"")</f>
        <v/>
      </c>
      <c r="I114" s="123" t="str">
        <f t="shared" si="20"/>
        <v>　</v>
      </c>
      <c r="J114" t="str">
        <f t="shared" si="21"/>
        <v>　</v>
      </c>
      <c r="K114" t="str">
        <f t="shared" si="22"/>
        <v/>
      </c>
    </row>
    <row r="115" spans="1:11">
      <c r="A115" s="113"/>
      <c r="B115" s="274"/>
      <c r="C115" s="275"/>
      <c r="D115" s="4"/>
      <c r="E115" s="4"/>
      <c r="F115" s="2" t="str">
        <f t="shared" si="18"/>
        <v/>
      </c>
      <c r="G115" s="2" t="str">
        <f t="shared" si="19"/>
        <v xml:space="preserve"> </v>
      </c>
      <c r="H115" s="59" t="str">
        <f>IFERROR(INDEX('直管換算表（参考）'!$C$5:$I$29,MATCH(B115,'直管換算表（参考）'!$B$5:$B$29,0),MATCH(D115,'直管換算表（参考）'!$C$4:$I$4,0)),"")</f>
        <v/>
      </c>
      <c r="I115" s="123" t="str">
        <f t="shared" si="20"/>
        <v>　</v>
      </c>
      <c r="J115" t="str">
        <f t="shared" si="21"/>
        <v>　</v>
      </c>
      <c r="K115" t="str">
        <f t="shared" si="22"/>
        <v/>
      </c>
    </row>
    <row r="116" spans="1:11">
      <c r="A116" s="113"/>
      <c r="B116" s="274"/>
      <c r="C116" s="275"/>
      <c r="D116" s="4"/>
      <c r="E116" s="4"/>
      <c r="F116" s="2" t="str">
        <f t="shared" si="18"/>
        <v/>
      </c>
      <c r="G116" s="2" t="str">
        <f t="shared" si="19"/>
        <v xml:space="preserve"> </v>
      </c>
      <c r="H116" s="59" t="str">
        <f>IFERROR(INDEX('直管換算表（参考）'!$C$5:$I$29,MATCH(B116,'直管換算表（参考）'!$B$5:$B$29,0),MATCH(D116,'直管換算表（参考）'!$C$4:$I$4,0)),"")</f>
        <v/>
      </c>
      <c r="I116" s="123" t="str">
        <f t="shared" si="20"/>
        <v>　</v>
      </c>
      <c r="J116" t="str">
        <f t="shared" si="21"/>
        <v>　</v>
      </c>
      <c r="K116" t="str">
        <f t="shared" si="22"/>
        <v/>
      </c>
    </row>
    <row r="117" spans="1:11">
      <c r="A117" s="113"/>
      <c r="B117" s="274"/>
      <c r="C117" s="275"/>
      <c r="D117" s="4"/>
      <c r="E117" s="4"/>
      <c r="F117" s="2" t="str">
        <f t="shared" si="18"/>
        <v/>
      </c>
      <c r="G117" s="2" t="str">
        <f t="shared" si="19"/>
        <v xml:space="preserve"> </v>
      </c>
      <c r="H117" s="59" t="str">
        <f>IFERROR(INDEX('直管換算表（参考）'!$C$5:$I$29,MATCH(B117,'直管換算表（参考）'!$B$5:$B$29,0),MATCH(D117,'直管換算表（参考）'!$C$4:$I$4,0)),"")</f>
        <v/>
      </c>
      <c r="I117" s="123" t="str">
        <f t="shared" si="20"/>
        <v>　</v>
      </c>
      <c r="J117" t="str">
        <f t="shared" si="21"/>
        <v>　</v>
      </c>
      <c r="K117" t="str">
        <f t="shared" si="22"/>
        <v/>
      </c>
    </row>
    <row r="118" spans="1:11">
      <c r="A118" s="113"/>
      <c r="B118" s="274"/>
      <c r="C118" s="275"/>
      <c r="D118" s="4"/>
      <c r="E118" s="4"/>
      <c r="F118" s="2" t="str">
        <f t="shared" si="18"/>
        <v/>
      </c>
      <c r="G118" s="2" t="str">
        <f t="shared" si="19"/>
        <v xml:space="preserve"> </v>
      </c>
      <c r="H118" s="59" t="str">
        <f>IFERROR(INDEX('直管換算表（参考）'!$C$5:$I$29,MATCH(B118,'直管換算表（参考）'!$B$5:$B$29,0),MATCH(D118,'直管換算表（参考）'!$C$4:$I$4,0)),"")</f>
        <v/>
      </c>
      <c r="I118" s="123" t="str">
        <f t="shared" si="20"/>
        <v>　</v>
      </c>
      <c r="J118" t="str">
        <f t="shared" si="21"/>
        <v>　</v>
      </c>
      <c r="K118" t="str">
        <f t="shared" si="22"/>
        <v/>
      </c>
    </row>
    <row r="119" spans="1:11">
      <c r="A119" s="113"/>
      <c r="B119" s="274"/>
      <c r="C119" s="275"/>
      <c r="D119" s="4"/>
      <c r="E119" s="4"/>
      <c r="F119" s="2" t="str">
        <f t="shared" si="18"/>
        <v/>
      </c>
      <c r="G119" s="2" t="str">
        <f t="shared" si="19"/>
        <v xml:space="preserve"> </v>
      </c>
      <c r="H119" s="59" t="str">
        <f>IFERROR(INDEX('直管換算表（参考）'!$C$5:$I$29,MATCH(B119,'直管換算表（参考）'!$B$5:$B$29,0),MATCH(D119,'直管換算表（参考）'!$C$4:$I$4,0)),"")</f>
        <v/>
      </c>
      <c r="I119" s="123" t="str">
        <f t="shared" si="20"/>
        <v>　</v>
      </c>
      <c r="J119" t="str">
        <f t="shared" si="21"/>
        <v>　</v>
      </c>
      <c r="K119" t="str">
        <f t="shared" si="22"/>
        <v/>
      </c>
    </row>
    <row r="120" spans="1:11">
      <c r="A120" s="115"/>
      <c r="B120" s="246"/>
      <c r="C120" s="247"/>
      <c r="D120" s="29"/>
      <c r="E120" s="28"/>
      <c r="F120" s="26" t="str">
        <f t="shared" si="18"/>
        <v/>
      </c>
      <c r="G120" s="26" t="str">
        <f t="shared" si="19"/>
        <v xml:space="preserve"> </v>
      </c>
      <c r="H120" s="59" t="str">
        <f>IFERROR(INDEX('直管換算表（参考）'!$C$5:$I$29,MATCH(B120,'直管換算表（参考）'!$B$5:$B$29,0),MATCH(D120,'直管換算表（参考）'!$C$4:$I$4,0)),"")</f>
        <v/>
      </c>
      <c r="I120" s="123" t="str">
        <f t="shared" si="20"/>
        <v>　</v>
      </c>
      <c r="J120" t="str">
        <f t="shared" si="21"/>
        <v>　</v>
      </c>
      <c r="K120" t="str">
        <f t="shared" si="22"/>
        <v/>
      </c>
    </row>
    <row r="121" spans="1:11">
      <c r="A121" s="113"/>
      <c r="B121" s="246"/>
      <c r="C121" s="247"/>
      <c r="D121" s="4"/>
      <c r="E121" s="4"/>
      <c r="F121" s="2" t="str">
        <f t="shared" si="18"/>
        <v/>
      </c>
      <c r="G121" s="2" t="str">
        <f t="shared" si="19"/>
        <v xml:space="preserve"> </v>
      </c>
      <c r="H121" s="59" t="str">
        <f>IFERROR(INDEX('直管換算表（参考）'!$C$5:$I$29,MATCH(B121,'直管換算表（参考）'!$B$5:$B$29,0),MATCH(D121,'直管換算表（参考）'!$C$4:$I$4,0)),"")</f>
        <v/>
      </c>
      <c r="I121" s="123" t="str">
        <f t="shared" si="20"/>
        <v>　</v>
      </c>
      <c r="J121" t="str">
        <f t="shared" si="21"/>
        <v>　</v>
      </c>
      <c r="K121" t="str">
        <f t="shared" si="22"/>
        <v/>
      </c>
    </row>
    <row r="122" spans="1:11">
      <c r="A122" s="113"/>
      <c r="B122" s="246"/>
      <c r="C122" s="247"/>
      <c r="D122" s="4"/>
      <c r="E122" s="4"/>
      <c r="F122" s="2" t="str">
        <f t="shared" si="18"/>
        <v/>
      </c>
      <c r="G122" s="2" t="str">
        <f t="shared" si="19"/>
        <v xml:space="preserve"> </v>
      </c>
      <c r="H122" s="59" t="str">
        <f>IFERROR(INDEX('直管換算表（参考）'!$C$5:$I$29,MATCH(B122,'直管換算表（参考）'!$B$5:$B$29,0),MATCH(D122,'直管換算表（参考）'!$C$4:$I$4,0)),"")</f>
        <v/>
      </c>
      <c r="I122" s="123" t="str">
        <f t="shared" si="20"/>
        <v>　</v>
      </c>
      <c r="J122" t="str">
        <f t="shared" si="21"/>
        <v>　</v>
      </c>
      <c r="K122" t="str">
        <f t="shared" si="22"/>
        <v/>
      </c>
    </row>
    <row r="123" spans="1:11">
      <c r="A123" s="113"/>
      <c r="B123" s="246"/>
      <c r="C123" s="247"/>
      <c r="D123" s="42"/>
      <c r="E123" s="4"/>
      <c r="F123" s="2" t="str">
        <f t="shared" si="18"/>
        <v/>
      </c>
      <c r="G123" s="2" t="str">
        <f t="shared" si="19"/>
        <v xml:space="preserve"> </v>
      </c>
      <c r="H123" s="59" t="str">
        <f>IFERROR(INDEX('直管換算表（参考）'!$C$5:$I$29,MATCH(B123,'直管換算表（参考）'!$B$5:$B$29,0),MATCH(D123,'直管換算表（参考）'!$C$4:$I$4,0)),"")</f>
        <v/>
      </c>
      <c r="I123" s="123" t="str">
        <f t="shared" si="20"/>
        <v>　</v>
      </c>
      <c r="J123" t="str">
        <f t="shared" si="21"/>
        <v>　</v>
      </c>
      <c r="K123" t="str">
        <f t="shared" si="22"/>
        <v/>
      </c>
    </row>
    <row r="124" spans="1:11">
      <c r="A124" s="113"/>
      <c r="B124" s="246"/>
      <c r="C124" s="247"/>
      <c r="D124" s="42"/>
      <c r="E124" s="4"/>
      <c r="F124" s="2" t="str">
        <f t="shared" si="18"/>
        <v/>
      </c>
      <c r="G124" s="2" t="str">
        <f t="shared" si="19"/>
        <v xml:space="preserve"> </v>
      </c>
      <c r="H124" s="59" t="str">
        <f>IFERROR(INDEX('直管換算表（参考）'!$C$5:$I$29,MATCH(B124,'直管換算表（参考）'!$B$5:$B$29,0),MATCH(D124,'直管換算表（参考）'!$C$4:$I$4,0)),"")</f>
        <v/>
      </c>
      <c r="I124" s="123" t="str">
        <f t="shared" si="20"/>
        <v>　</v>
      </c>
      <c r="J124" t="str">
        <f t="shared" si="21"/>
        <v>　</v>
      </c>
      <c r="K124" t="str">
        <f t="shared" si="22"/>
        <v/>
      </c>
    </row>
    <row r="125" spans="1:11">
      <c r="A125" s="113"/>
      <c r="B125" s="246"/>
      <c r="C125" s="247"/>
      <c r="D125" s="42"/>
      <c r="E125" s="4"/>
      <c r="F125" s="2" t="str">
        <f t="shared" si="18"/>
        <v/>
      </c>
      <c r="G125" s="2" t="str">
        <f t="shared" si="19"/>
        <v xml:space="preserve"> </v>
      </c>
      <c r="H125" s="59" t="str">
        <f>IFERROR(INDEX('直管換算表（参考）'!$C$5:$I$29,MATCH(B125,'直管換算表（参考）'!$B$5:$B$29,0),MATCH(D125,'直管換算表（参考）'!$C$4:$I$4,0)),"")</f>
        <v/>
      </c>
      <c r="I125" s="123" t="str">
        <f t="shared" si="20"/>
        <v>　</v>
      </c>
      <c r="J125" t="str">
        <f t="shared" si="21"/>
        <v>　</v>
      </c>
      <c r="K125" t="str">
        <f t="shared" si="22"/>
        <v/>
      </c>
    </row>
    <row r="126" spans="1:11">
      <c r="A126" s="113"/>
      <c r="B126" s="246"/>
      <c r="C126" s="247"/>
      <c r="D126" s="42"/>
      <c r="E126" s="4"/>
      <c r="F126" s="2" t="str">
        <f t="shared" si="18"/>
        <v/>
      </c>
      <c r="G126" s="2" t="str">
        <f t="shared" si="19"/>
        <v xml:space="preserve"> </v>
      </c>
      <c r="H126" s="59" t="str">
        <f>IFERROR(INDEX('直管換算表（参考）'!$C$5:$I$29,MATCH(B126,'直管換算表（参考）'!$B$5:$B$29,0),MATCH(D126,'直管換算表（参考）'!$C$4:$I$4,0)),"")</f>
        <v/>
      </c>
      <c r="I126" s="123" t="str">
        <f t="shared" si="20"/>
        <v>　</v>
      </c>
      <c r="J126" t="str">
        <f t="shared" si="21"/>
        <v>　</v>
      </c>
      <c r="K126" t="str">
        <f t="shared" si="22"/>
        <v/>
      </c>
    </row>
    <row r="127" spans="1:11">
      <c r="A127" s="113"/>
      <c r="B127" s="246"/>
      <c r="C127" s="247"/>
      <c r="D127" s="42"/>
      <c r="E127" s="4"/>
      <c r="F127" s="2" t="str">
        <f t="shared" si="18"/>
        <v/>
      </c>
      <c r="G127" s="2" t="str">
        <f t="shared" si="19"/>
        <v xml:space="preserve"> </v>
      </c>
      <c r="H127" s="59" t="str">
        <f>IFERROR(INDEX('直管換算表（参考）'!$C$5:$I$29,MATCH(B127,'直管換算表（参考）'!$B$5:$B$29,0),MATCH(D127,'直管換算表（参考）'!$C$4:$I$4,0)),"")</f>
        <v/>
      </c>
      <c r="I127" s="123" t="str">
        <f t="shared" si="20"/>
        <v>　</v>
      </c>
      <c r="J127" t="str">
        <f t="shared" si="21"/>
        <v>　</v>
      </c>
      <c r="K127" t="str">
        <f t="shared" si="22"/>
        <v/>
      </c>
    </row>
    <row r="128" spans="1:11">
      <c r="A128" s="113"/>
      <c r="B128" s="246"/>
      <c r="C128" s="247"/>
      <c r="D128" s="42"/>
      <c r="E128" s="4"/>
      <c r="F128" s="2" t="str">
        <f t="shared" si="18"/>
        <v/>
      </c>
      <c r="G128" s="2" t="str">
        <f t="shared" si="19"/>
        <v xml:space="preserve"> </v>
      </c>
      <c r="H128" s="59" t="str">
        <f>IFERROR(INDEX('直管換算表（参考）'!$C$5:$I$29,MATCH(B128,'直管換算表（参考）'!$B$5:$B$29,0),MATCH(D128,'直管換算表（参考）'!$C$4:$I$4,0)),"")</f>
        <v/>
      </c>
      <c r="I128" s="123" t="str">
        <f t="shared" si="20"/>
        <v>　</v>
      </c>
      <c r="J128" t="str">
        <f t="shared" si="21"/>
        <v>　</v>
      </c>
      <c r="K128" t="str">
        <f t="shared" si="22"/>
        <v/>
      </c>
    </row>
    <row r="129" spans="1:11" ht="14.25" thickBot="1">
      <c r="A129" s="133"/>
      <c r="B129" s="306"/>
      <c r="C129" s="307"/>
      <c r="D129" s="43"/>
      <c r="E129" s="31"/>
      <c r="F129" s="32" t="str">
        <f t="shared" si="18"/>
        <v/>
      </c>
      <c r="G129" s="32" t="str">
        <f t="shared" si="19"/>
        <v xml:space="preserve"> </v>
      </c>
      <c r="H129" s="241" t="str">
        <f>IFERROR(INDEX('直管換算表（参考）'!$C$5:$I$29,MATCH(B129,'直管換算表（参考）'!$B$5:$B$29,0),MATCH(D129,'直管換算表（参考）'!$C$4:$I$4,0)),"")</f>
        <v/>
      </c>
      <c r="I129" s="176" t="str">
        <f t="shared" si="20"/>
        <v>　</v>
      </c>
      <c r="J129" t="str">
        <f t="shared" si="21"/>
        <v>　</v>
      </c>
      <c r="K129" t="str">
        <f t="shared" si="22"/>
        <v/>
      </c>
    </row>
    <row r="130" spans="1:11" ht="14.25" thickTop="1">
      <c r="A130" s="67"/>
      <c r="B130" s="2" t="s">
        <v>86</v>
      </c>
      <c r="C130" s="2"/>
      <c r="D130" s="4"/>
      <c r="E130" s="2"/>
      <c r="F130" s="2" t="str">
        <f t="shared" si="18"/>
        <v/>
      </c>
      <c r="G130" s="2"/>
      <c r="H130" s="3" t="str">
        <f>IFERROR(INDEX('直管換算表（参考）'!$C$5:$I$29,MATCH(B130,'直管換算表（参考）'!$B$5:$B$29,0),MATCH(D130,'直管換算表（参考）'!$C$4:$I$4,0)),"")</f>
        <v/>
      </c>
      <c r="I130" s="158" t="str">
        <f>IF(D130&gt;0,1,"")</f>
        <v/>
      </c>
    </row>
    <row r="131" spans="1:11">
      <c r="A131" s="67"/>
      <c r="B131" s="2" t="s">
        <v>76</v>
      </c>
      <c r="C131" s="2"/>
      <c r="D131" s="3"/>
      <c r="E131" s="2"/>
      <c r="F131" s="2"/>
      <c r="G131" s="39"/>
      <c r="H131" s="40"/>
      <c r="I131" s="134"/>
      <c r="J131" s="18" t="str">
        <f>IF(I131&gt;10,"エラー　制限高超え","")</f>
        <v/>
      </c>
    </row>
    <row r="132" spans="1:11">
      <c r="A132" s="67"/>
      <c r="B132" s="14" t="s">
        <v>186</v>
      </c>
      <c r="C132" s="16"/>
      <c r="D132" s="15"/>
      <c r="E132" s="16"/>
      <c r="F132" s="16"/>
      <c r="G132" s="16"/>
      <c r="H132" s="17"/>
      <c r="I132" s="134"/>
      <c r="J132" s="8"/>
      <c r="K132" s="8"/>
    </row>
    <row r="133" spans="1:11" ht="14.25" thickBot="1">
      <c r="A133" s="72"/>
      <c r="B133" s="135" t="s">
        <v>125</v>
      </c>
      <c r="C133" s="136"/>
      <c r="D133" s="136"/>
      <c r="E133" s="136"/>
      <c r="F133" s="136"/>
      <c r="G133" s="136"/>
      <c r="H133" s="137"/>
      <c r="I133" s="116" t="str">
        <f>IF(SUM(I109:I132),SUM(I109:I132)," ")</f>
        <v xml:space="preserve"> </v>
      </c>
    </row>
    <row r="135" spans="1:11">
      <c r="A135" t="s">
        <v>195</v>
      </c>
      <c r="C135" s="59" t="str">
        <f>I60</f>
        <v xml:space="preserve"> </v>
      </c>
      <c r="D135" s="8" t="s">
        <v>174</v>
      </c>
      <c r="F135" t="s">
        <v>197</v>
      </c>
      <c r="H135" s="59" t="str">
        <f>I104</f>
        <v xml:space="preserve"> </v>
      </c>
      <c r="I135" s="8" t="s">
        <v>174</v>
      </c>
    </row>
    <row r="136" spans="1:11">
      <c r="A136" s="145" t="s">
        <v>196</v>
      </c>
      <c r="C136" s="59" t="str">
        <f>I89</f>
        <v xml:space="preserve"> </v>
      </c>
      <c r="D136" s="8" t="s">
        <v>174</v>
      </c>
      <c r="F136" s="145" t="s">
        <v>198</v>
      </c>
      <c r="H136" s="59" t="str">
        <f>I133</f>
        <v xml:space="preserve"> </v>
      </c>
      <c r="I136" s="8" t="s">
        <v>174</v>
      </c>
    </row>
    <row r="137" spans="1:11">
      <c r="A137" s="177" t="s">
        <v>199</v>
      </c>
      <c r="C137" s="59" t="str">
        <f>IFERROR(C135+C136,"")</f>
        <v/>
      </c>
      <c r="D137" s="8" t="s">
        <v>201</v>
      </c>
      <c r="F137" s="177" t="s">
        <v>200</v>
      </c>
      <c r="H137" s="59" t="str">
        <f>IFERROR(H135+H136,"")</f>
        <v/>
      </c>
      <c r="I137" s="8" t="s">
        <v>202</v>
      </c>
    </row>
    <row r="138" spans="1:11">
      <c r="A138" s="145"/>
      <c r="C138" s="15"/>
      <c r="D138" s="8"/>
      <c r="F138" s="145"/>
      <c r="H138" s="10"/>
      <c r="I138" s="8"/>
    </row>
    <row r="139" spans="1:11">
      <c r="A139" t="s">
        <v>69</v>
      </c>
      <c r="C139" s="59">
        <f>IFERROR((MAX(C137,H137)),"")</f>
        <v>0</v>
      </c>
      <c r="D139" t="s">
        <v>72</v>
      </c>
    </row>
    <row r="140" spans="1:11">
      <c r="A140" t="s">
        <v>73</v>
      </c>
      <c r="C140" s="59">
        <f>IFERROR(ROUND(C139*0.0098,3),"")</f>
        <v>0</v>
      </c>
      <c r="D140" t="s">
        <v>74</v>
      </c>
      <c r="J140" s="8"/>
    </row>
    <row r="141" spans="1:11">
      <c r="B141" s="8"/>
      <c r="C141" s="16"/>
      <c r="D141" s="8"/>
      <c r="J141" s="8"/>
    </row>
    <row r="142" spans="1:11" ht="20.100000000000001" customHeight="1">
      <c r="A142" s="282" t="s">
        <v>70</v>
      </c>
      <c r="B142" s="283"/>
      <c r="C142" s="168" t="str">
        <f>IF(C140="","",IF(B34&gt;C140,"ＯＫ","ＮＧ"))</f>
        <v>ＮＧ</v>
      </c>
      <c r="D142" s="169" t="s">
        <v>71</v>
      </c>
      <c r="E142" s="173" t="str">
        <f>IF(C142="","",IF(C142="ＯＫ","設定の管径とする","再設計が必要。"))</f>
        <v>再設計が必要。</v>
      </c>
      <c r="F142" s="61"/>
      <c r="G142" s="61"/>
      <c r="H142" s="61"/>
      <c r="I142" s="54"/>
    </row>
    <row r="143" spans="1:11" ht="20.100000000000001" customHeight="1">
      <c r="A143" s="63"/>
      <c r="B143" s="170" t="s">
        <v>78</v>
      </c>
      <c r="C143" s="171">
        <f>MAX(F49:F130)</f>
        <v>0</v>
      </c>
      <c r="D143" s="169" t="s">
        <v>173</v>
      </c>
      <c r="E143" s="172" t="str">
        <f>IF(C143=0,"",IF(C143&gt;2,"ウォータハンマが発生する可能性があります。","問題なし"))</f>
        <v/>
      </c>
      <c r="F143" s="46"/>
      <c r="G143" s="46"/>
      <c r="H143" s="46"/>
      <c r="I143" s="46"/>
    </row>
    <row r="147" spans="10:10">
      <c r="J147" s="45"/>
    </row>
    <row r="148" spans="10:10">
      <c r="J148" s="45"/>
    </row>
    <row r="150" spans="10:10">
      <c r="J150" s="46"/>
    </row>
  </sheetData>
  <sheetProtection formatCells="0" selectLockedCells="1" selectUnlockedCells="1"/>
  <mergeCells count="93">
    <mergeCell ref="E2:F2"/>
    <mergeCell ref="G2:I2"/>
    <mergeCell ref="E3:F3"/>
    <mergeCell ref="G3:I3"/>
    <mergeCell ref="F8:F9"/>
    <mergeCell ref="K47:K48"/>
    <mergeCell ref="B49:C49"/>
    <mergeCell ref="D38:G38"/>
    <mergeCell ref="D39:E39"/>
    <mergeCell ref="D32:E32"/>
    <mergeCell ref="F31:F32"/>
    <mergeCell ref="G31:G32"/>
    <mergeCell ref="H31:H32"/>
    <mergeCell ref="D44:E44"/>
    <mergeCell ref="J47:J48"/>
    <mergeCell ref="B52:C52"/>
    <mergeCell ref="B53:C53"/>
    <mergeCell ref="B54:C54"/>
    <mergeCell ref="A8:A9"/>
    <mergeCell ref="A63:A64"/>
    <mergeCell ref="B63:C64"/>
    <mergeCell ref="A47:A48"/>
    <mergeCell ref="B47:C48"/>
    <mergeCell ref="B50:C50"/>
    <mergeCell ref="B51:C51"/>
    <mergeCell ref="B56:C56"/>
    <mergeCell ref="B57:C57"/>
    <mergeCell ref="B58:C58"/>
    <mergeCell ref="B59:C59"/>
    <mergeCell ref="A60:H60"/>
    <mergeCell ref="B55:C55"/>
    <mergeCell ref="B76:C76"/>
    <mergeCell ref="B65:C65"/>
    <mergeCell ref="B66:C66"/>
    <mergeCell ref="B67:C67"/>
    <mergeCell ref="B68:C68"/>
    <mergeCell ref="B69:C69"/>
    <mergeCell ref="B70:C70"/>
    <mergeCell ref="B83:C83"/>
    <mergeCell ref="B84:C84"/>
    <mergeCell ref="B85:C85"/>
    <mergeCell ref="A142:B142"/>
    <mergeCell ref="D40:E40"/>
    <mergeCell ref="B77:C77"/>
    <mergeCell ref="B78:C78"/>
    <mergeCell ref="B79:C79"/>
    <mergeCell ref="B80:C80"/>
    <mergeCell ref="B81:C81"/>
    <mergeCell ref="B82:C82"/>
    <mergeCell ref="B71:C71"/>
    <mergeCell ref="B72:C72"/>
    <mergeCell ref="B73:C73"/>
    <mergeCell ref="B74:C74"/>
    <mergeCell ref="B75:C75"/>
    <mergeCell ref="B117:C117"/>
    <mergeCell ref="B110:C110"/>
    <mergeCell ref="B111:C111"/>
    <mergeCell ref="B98:C98"/>
    <mergeCell ref="B99:C99"/>
    <mergeCell ref="B100:C100"/>
    <mergeCell ref="B101:C101"/>
    <mergeCell ref="B102:C102"/>
    <mergeCell ref="B103:C103"/>
    <mergeCell ref="A104:H104"/>
    <mergeCell ref="A107:A108"/>
    <mergeCell ref="B107:C108"/>
    <mergeCell ref="B109:C109"/>
    <mergeCell ref="B112:C112"/>
    <mergeCell ref="B113:C113"/>
    <mergeCell ref="B114:C114"/>
    <mergeCell ref="B125:C125"/>
    <mergeCell ref="B126:C126"/>
    <mergeCell ref="B127:C127"/>
    <mergeCell ref="B128:C128"/>
    <mergeCell ref="B129:C129"/>
    <mergeCell ref="B124:C124"/>
    <mergeCell ref="B118:C118"/>
    <mergeCell ref="B119:C119"/>
    <mergeCell ref="B120:C120"/>
    <mergeCell ref="B121:C121"/>
    <mergeCell ref="B122:C122"/>
    <mergeCell ref="B123:C123"/>
    <mergeCell ref="K91:K92"/>
    <mergeCell ref="B93:C93"/>
    <mergeCell ref="B115:C115"/>
    <mergeCell ref="B116:C116"/>
    <mergeCell ref="A91:A92"/>
    <mergeCell ref="B91:C92"/>
    <mergeCell ref="J91:J92"/>
    <mergeCell ref="B94:C94"/>
    <mergeCell ref="B95:C95"/>
    <mergeCell ref="B96:C96"/>
    <mergeCell ref="B97:C97"/>
  </mergeCells>
  <phoneticPr fontId="1"/>
  <conditionalFormatting sqref="G10:G25">
    <cfRule type="colorScale" priority="1">
      <colorScale>
        <cfvo type="min"/>
        <cfvo type="max"/>
        <color theme="4" tint="0.59999389629810485"/>
        <color theme="4" tint="0.59999389629810485"/>
      </colorScale>
    </cfRule>
    <cfRule type="colorScale" priority="2">
      <colorScale>
        <cfvo type="min"/>
        <cfvo type="max"/>
        <color theme="3" tint="0.59999389629810485"/>
        <color theme="3" tint="0.59999389629810485"/>
      </colorScale>
    </cfRule>
    <cfRule type="expression" dxfId="2" priority="3">
      <formula>$C10&gt;0</formula>
    </cfRule>
  </conditionalFormatting>
  <dataValidations count="1">
    <dataValidation type="list" allowBlank="1" showInputMessage="1" showErrorMessage="1" sqref="A65:A85 A109:A129">
      <formula1>$A$49:$A$59</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&amp;R&amp;"-,斜体"&amp;8①各戸使用水量と戸数の同時使用率から同時使用水量を算定(3F)</oddHeader>
  </headerFooter>
  <rowBreaks count="2" manualBreakCount="2">
    <brk id="45" max="8" man="1"/>
    <brk id="89" max="8"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表!$F$5:$F$11</xm:f>
          </x14:formula1>
          <xm:sqref>D65:D86 D109:D130</xm:sqref>
        </x14:dataValidation>
        <x14:dataValidation type="list" allowBlank="1" showInputMessage="1" showErrorMessage="1">
          <x14:formula1>
            <xm:f>'直管換算表（参考）'!$B$5:$B$29</xm:f>
          </x14:formula1>
          <xm:sqref>B65:C85 B109:C129</xm:sqref>
        </x14:dataValidation>
        <x14:dataValidation type="list" allowBlank="1" showInputMessage="1" showErrorMessage="1">
          <x14:formula1>
            <xm:f>表!$E$5:$E$12</xm:f>
          </x14:formula1>
          <xm:sqref>D49:D59 D93:D103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K148"/>
  <sheetViews>
    <sheetView showZeros="0" view="pageBreakPreview" zoomScaleNormal="100" zoomScaleSheetLayoutView="100" workbookViewId="0">
      <selection activeCell="D32" sqref="D32"/>
    </sheetView>
  </sheetViews>
  <sheetFormatPr defaultRowHeight="13.5"/>
  <cols>
    <col min="1" max="1" width="15.875" customWidth="1"/>
    <col min="2" max="5" width="8.625" customWidth="1"/>
    <col min="6" max="6" width="15.875" customWidth="1"/>
    <col min="7" max="9" width="8.625" customWidth="1"/>
    <col min="10" max="11" width="9" hidden="1" customWidth="1"/>
  </cols>
  <sheetData>
    <row r="1" spans="1:10" ht="20.25" customHeight="1">
      <c r="A1" t="s">
        <v>129</v>
      </c>
    </row>
    <row r="2" spans="1:10" ht="18" customHeight="1" thickBot="1">
      <c r="A2" s="1" t="s">
        <v>131</v>
      </c>
      <c r="E2" s="277" t="s">
        <v>127</v>
      </c>
      <c r="F2" s="277"/>
      <c r="G2" s="292">
        <f>'①設計シート（同時使用率３F）'!G2:I2</f>
        <v>0</v>
      </c>
      <c r="H2" s="292"/>
      <c r="I2" s="292"/>
      <c r="J2" s="5"/>
    </row>
    <row r="3" spans="1:10" ht="18.75" customHeight="1" thickBot="1">
      <c r="A3" s="1" t="s">
        <v>130</v>
      </c>
      <c r="E3" s="279" t="s">
        <v>128</v>
      </c>
      <c r="F3" s="280"/>
      <c r="G3" s="292">
        <f>'①設計シート（同時使用率３F）'!G3:I3</f>
        <v>0</v>
      </c>
      <c r="H3" s="292"/>
      <c r="I3" s="292"/>
      <c r="J3" s="5"/>
    </row>
    <row r="5" spans="1:10">
      <c r="A5" s="198" t="s">
        <v>246</v>
      </c>
    </row>
    <row r="6" spans="1:10" ht="14.25">
      <c r="A6" s="127" t="s">
        <v>179</v>
      </c>
      <c r="B6" s="197" t="s">
        <v>250</v>
      </c>
      <c r="D6" s="48"/>
      <c r="F6" s="127" t="s">
        <v>180</v>
      </c>
      <c r="H6" s="197" t="s">
        <v>251</v>
      </c>
    </row>
    <row r="7" spans="1:10" ht="14.25" thickBot="1">
      <c r="D7" s="48"/>
      <c r="F7" s="139" t="s">
        <v>163</v>
      </c>
      <c r="G7" s="161" t="str">
        <f>IFERROR(VLOOKUP(B26,表!B4:C33,2,FALSE),"")</f>
        <v/>
      </c>
      <c r="H7" s="140" t="s">
        <v>167</v>
      </c>
    </row>
    <row r="8" spans="1:10">
      <c r="A8" s="270" t="s">
        <v>0</v>
      </c>
      <c r="B8" s="74" t="s">
        <v>15</v>
      </c>
      <c r="C8" s="65" t="s">
        <v>1</v>
      </c>
      <c r="D8" s="66" t="s">
        <v>17</v>
      </c>
      <c r="F8" s="270" t="s">
        <v>0</v>
      </c>
      <c r="G8" s="78" t="s">
        <v>15</v>
      </c>
      <c r="H8" s="65" t="s">
        <v>1</v>
      </c>
      <c r="I8" s="66" t="s">
        <v>17</v>
      </c>
      <c r="J8" s="55"/>
    </row>
    <row r="9" spans="1:10" ht="14.25" thickBot="1">
      <c r="A9" s="271"/>
      <c r="B9" s="82" t="s">
        <v>79</v>
      </c>
      <c r="C9" s="83" t="s">
        <v>80</v>
      </c>
      <c r="D9" s="84" t="s">
        <v>80</v>
      </c>
      <c r="F9" s="271"/>
      <c r="G9" s="87" t="s">
        <v>79</v>
      </c>
      <c r="H9" s="83" t="s">
        <v>80</v>
      </c>
      <c r="I9" s="84" t="s">
        <v>80</v>
      </c>
      <c r="J9" s="55"/>
    </row>
    <row r="10" spans="1:10">
      <c r="A10" s="162" t="s">
        <v>2</v>
      </c>
      <c r="B10" s="208">
        <f>'①設計シート（同時使用率３F）'!B10</f>
        <v>0</v>
      </c>
      <c r="C10" s="208">
        <f>'①設計シート（同時使用率３F）'!C10</f>
        <v>0</v>
      </c>
      <c r="D10" s="81">
        <f t="shared" ref="D10:D25" si="0">B10*C10</f>
        <v>0</v>
      </c>
      <c r="E10" s="144">
        <f t="shared" ref="E10:E25" si="1">IF(AND(B10=0,C10=0),0,IF(B10*C10=0,"←入力不備",""))</f>
        <v>0</v>
      </c>
      <c r="F10" s="162" t="s">
        <v>2</v>
      </c>
      <c r="G10" s="85">
        <f>'①設計シート（同時使用率３F）'!G10</f>
        <v>0</v>
      </c>
      <c r="H10" s="86" t="str">
        <f t="shared" ref="H10:H25" si="2">IF(C10=0,"",C10)</f>
        <v/>
      </c>
      <c r="I10" s="81" t="str">
        <f t="shared" ref="I10:I25" si="3">IFERROR(G10*H10,"")</f>
        <v/>
      </c>
      <c r="J10" s="10"/>
    </row>
    <row r="11" spans="1:10">
      <c r="A11" s="163" t="s">
        <v>3</v>
      </c>
      <c r="B11" s="208">
        <f>'①設計シート（同時使用率３F）'!B11</f>
        <v>0</v>
      </c>
      <c r="C11" s="208">
        <f>'①設計シート（同時使用率３F）'!C11</f>
        <v>0</v>
      </c>
      <c r="D11" s="68">
        <f t="shared" si="0"/>
        <v>0</v>
      </c>
      <c r="E11" s="144">
        <f t="shared" si="1"/>
        <v>0</v>
      </c>
      <c r="F11" s="163" t="s">
        <v>3</v>
      </c>
      <c r="G11" s="85">
        <f>'①設計シート（同時使用率３F）'!G11</f>
        <v>0</v>
      </c>
      <c r="H11" s="13" t="str">
        <f t="shared" si="2"/>
        <v/>
      </c>
      <c r="I11" s="68" t="str">
        <f t="shared" si="3"/>
        <v/>
      </c>
      <c r="J11" s="10"/>
    </row>
    <row r="12" spans="1:10">
      <c r="A12" s="163" t="s">
        <v>18</v>
      </c>
      <c r="B12" s="208">
        <f>'①設計シート（同時使用率３F）'!B12</f>
        <v>0</v>
      </c>
      <c r="C12" s="208">
        <f>'①設計シート（同時使用率３F）'!C12</f>
        <v>0</v>
      </c>
      <c r="D12" s="68">
        <f t="shared" si="0"/>
        <v>0</v>
      </c>
      <c r="E12" s="144">
        <f t="shared" si="1"/>
        <v>0</v>
      </c>
      <c r="F12" s="163" t="s">
        <v>18</v>
      </c>
      <c r="G12" s="85">
        <f>'①設計シート（同時使用率３F）'!G12</f>
        <v>0</v>
      </c>
      <c r="H12" s="13" t="str">
        <f t="shared" si="2"/>
        <v/>
      </c>
      <c r="I12" s="68" t="str">
        <f t="shared" si="3"/>
        <v/>
      </c>
      <c r="J12" s="10"/>
    </row>
    <row r="13" spans="1:10">
      <c r="A13" s="163" t="s">
        <v>4</v>
      </c>
      <c r="B13" s="208">
        <f>'①設計シート（同時使用率３F）'!B13</f>
        <v>0</v>
      </c>
      <c r="C13" s="208">
        <f>'①設計シート（同時使用率３F）'!C13</f>
        <v>0</v>
      </c>
      <c r="D13" s="68">
        <f t="shared" si="0"/>
        <v>0</v>
      </c>
      <c r="E13" s="144">
        <f t="shared" si="1"/>
        <v>0</v>
      </c>
      <c r="F13" s="163" t="s">
        <v>4</v>
      </c>
      <c r="G13" s="85">
        <f>'①設計シート（同時使用率３F）'!G13</f>
        <v>0</v>
      </c>
      <c r="H13" s="13" t="str">
        <f t="shared" si="2"/>
        <v/>
      </c>
      <c r="I13" s="68" t="str">
        <f t="shared" si="3"/>
        <v/>
      </c>
      <c r="J13" s="10"/>
    </row>
    <row r="14" spans="1:10">
      <c r="A14" s="163" t="s">
        <v>5</v>
      </c>
      <c r="B14" s="208">
        <f>'①設計シート（同時使用率３F）'!B14</f>
        <v>0</v>
      </c>
      <c r="C14" s="208">
        <f>'①設計シート（同時使用率３F）'!C14</f>
        <v>0</v>
      </c>
      <c r="D14" s="68">
        <f t="shared" si="0"/>
        <v>0</v>
      </c>
      <c r="E14" s="144">
        <f t="shared" si="1"/>
        <v>0</v>
      </c>
      <c r="F14" s="163" t="s">
        <v>5</v>
      </c>
      <c r="G14" s="85">
        <f>'①設計シート（同時使用率３F）'!G14</f>
        <v>0</v>
      </c>
      <c r="H14" s="13" t="str">
        <f t="shared" si="2"/>
        <v/>
      </c>
      <c r="I14" s="68" t="str">
        <f t="shared" si="3"/>
        <v/>
      </c>
      <c r="J14" s="10"/>
    </row>
    <row r="15" spans="1:10">
      <c r="A15" s="163" t="s">
        <v>6</v>
      </c>
      <c r="B15" s="208">
        <f>'①設計シート（同時使用率３F）'!B15</f>
        <v>0</v>
      </c>
      <c r="C15" s="208">
        <f>'①設計シート（同時使用率３F）'!C15</f>
        <v>0</v>
      </c>
      <c r="D15" s="68">
        <f t="shared" si="0"/>
        <v>0</v>
      </c>
      <c r="E15" s="144">
        <f t="shared" si="1"/>
        <v>0</v>
      </c>
      <c r="F15" s="163" t="s">
        <v>6</v>
      </c>
      <c r="G15" s="85">
        <f>'①設計シート（同時使用率３F）'!G15</f>
        <v>0</v>
      </c>
      <c r="H15" s="13" t="str">
        <f t="shared" si="2"/>
        <v/>
      </c>
      <c r="I15" s="68" t="str">
        <f t="shared" si="3"/>
        <v/>
      </c>
      <c r="J15" s="10"/>
    </row>
    <row r="16" spans="1:10">
      <c r="A16" s="163" t="s">
        <v>7</v>
      </c>
      <c r="B16" s="208">
        <f>'①設計シート（同時使用率３F）'!B16</f>
        <v>0</v>
      </c>
      <c r="C16" s="208">
        <f>'①設計シート（同時使用率３F）'!C16</f>
        <v>0</v>
      </c>
      <c r="D16" s="68">
        <f t="shared" si="0"/>
        <v>0</v>
      </c>
      <c r="E16" s="144">
        <f t="shared" si="1"/>
        <v>0</v>
      </c>
      <c r="F16" s="163" t="s">
        <v>7</v>
      </c>
      <c r="G16" s="85">
        <f>'①設計シート（同時使用率３F）'!G16</f>
        <v>0</v>
      </c>
      <c r="H16" s="13" t="str">
        <f t="shared" si="2"/>
        <v/>
      </c>
      <c r="I16" s="68" t="str">
        <f t="shared" si="3"/>
        <v/>
      </c>
      <c r="J16" s="10"/>
    </row>
    <row r="17" spans="1:11">
      <c r="A17" s="163" t="s">
        <v>8</v>
      </c>
      <c r="B17" s="208">
        <f>'①設計シート（同時使用率３F）'!B17</f>
        <v>0</v>
      </c>
      <c r="C17" s="208">
        <f>'①設計シート（同時使用率３F）'!C17</f>
        <v>0</v>
      </c>
      <c r="D17" s="68">
        <f t="shared" si="0"/>
        <v>0</v>
      </c>
      <c r="E17" s="144">
        <f t="shared" si="1"/>
        <v>0</v>
      </c>
      <c r="F17" s="163" t="s">
        <v>8</v>
      </c>
      <c r="G17" s="85">
        <f>'①設計シート（同時使用率３F）'!G17</f>
        <v>0</v>
      </c>
      <c r="H17" s="13" t="str">
        <f t="shared" si="2"/>
        <v/>
      </c>
      <c r="I17" s="68" t="str">
        <f t="shared" si="3"/>
        <v/>
      </c>
      <c r="J17" s="10"/>
    </row>
    <row r="18" spans="1:11">
      <c r="A18" s="163" t="s">
        <v>9</v>
      </c>
      <c r="B18" s="208">
        <f>'①設計シート（同時使用率３F）'!B18</f>
        <v>0</v>
      </c>
      <c r="C18" s="208">
        <f>'①設計シート（同時使用率３F）'!C18</f>
        <v>0</v>
      </c>
      <c r="D18" s="68">
        <f t="shared" si="0"/>
        <v>0</v>
      </c>
      <c r="E18" s="144">
        <f t="shared" si="1"/>
        <v>0</v>
      </c>
      <c r="F18" s="163" t="s">
        <v>9</v>
      </c>
      <c r="G18" s="85">
        <f>'①設計シート（同時使用率３F）'!G18</f>
        <v>0</v>
      </c>
      <c r="H18" s="13" t="str">
        <f t="shared" si="2"/>
        <v/>
      </c>
      <c r="I18" s="68" t="str">
        <f t="shared" si="3"/>
        <v/>
      </c>
      <c r="J18" s="10"/>
    </row>
    <row r="19" spans="1:11">
      <c r="A19" s="163" t="s">
        <v>10</v>
      </c>
      <c r="B19" s="208">
        <f>'①設計シート（同時使用率３F）'!B19</f>
        <v>0</v>
      </c>
      <c r="C19" s="208">
        <f>'①設計シート（同時使用率３F）'!C19</f>
        <v>0</v>
      </c>
      <c r="D19" s="68">
        <f t="shared" si="0"/>
        <v>0</v>
      </c>
      <c r="E19" s="144">
        <f t="shared" si="1"/>
        <v>0</v>
      </c>
      <c r="F19" s="163" t="s">
        <v>10</v>
      </c>
      <c r="G19" s="85">
        <f>'①設計シート（同時使用率３F）'!G19</f>
        <v>0</v>
      </c>
      <c r="H19" s="13" t="str">
        <f t="shared" si="2"/>
        <v/>
      </c>
      <c r="I19" s="68" t="str">
        <f t="shared" si="3"/>
        <v/>
      </c>
      <c r="J19" s="10"/>
    </row>
    <row r="20" spans="1:11">
      <c r="A20" s="163" t="s">
        <v>11</v>
      </c>
      <c r="B20" s="208">
        <f>'①設計シート（同時使用率３F）'!B20</f>
        <v>0</v>
      </c>
      <c r="C20" s="208">
        <f>'①設計シート（同時使用率３F）'!C20</f>
        <v>0</v>
      </c>
      <c r="D20" s="68">
        <f t="shared" si="0"/>
        <v>0</v>
      </c>
      <c r="E20" s="144">
        <f t="shared" si="1"/>
        <v>0</v>
      </c>
      <c r="F20" s="163" t="s">
        <v>11</v>
      </c>
      <c r="G20" s="85">
        <f>'①設計シート（同時使用率３F）'!G20</f>
        <v>0</v>
      </c>
      <c r="H20" s="13" t="str">
        <f t="shared" si="2"/>
        <v/>
      </c>
      <c r="I20" s="68" t="str">
        <f t="shared" si="3"/>
        <v/>
      </c>
      <c r="J20" s="10"/>
    </row>
    <row r="21" spans="1:11">
      <c r="A21" s="163" t="s">
        <v>12</v>
      </c>
      <c r="B21" s="208">
        <f>'①設計シート（同時使用率３F）'!B21</f>
        <v>0</v>
      </c>
      <c r="C21" s="208">
        <f>'①設計シート（同時使用率３F）'!C21</f>
        <v>0</v>
      </c>
      <c r="D21" s="68">
        <f t="shared" si="0"/>
        <v>0</v>
      </c>
      <c r="E21" s="144">
        <f t="shared" si="1"/>
        <v>0</v>
      </c>
      <c r="F21" s="163" t="s">
        <v>12</v>
      </c>
      <c r="G21" s="85">
        <f>'①設計シート（同時使用率３F）'!G21</f>
        <v>0</v>
      </c>
      <c r="H21" s="13" t="str">
        <f t="shared" si="2"/>
        <v/>
      </c>
      <c r="I21" s="68" t="str">
        <f t="shared" si="3"/>
        <v/>
      </c>
      <c r="J21" s="10"/>
    </row>
    <row r="22" spans="1:11">
      <c r="A22" s="163" t="s">
        <v>13</v>
      </c>
      <c r="B22" s="208">
        <f>'①設計シート（同時使用率３F）'!B22</f>
        <v>0</v>
      </c>
      <c r="C22" s="208">
        <f>'①設計シート（同時使用率３F）'!C22</f>
        <v>0</v>
      </c>
      <c r="D22" s="68">
        <f t="shared" si="0"/>
        <v>0</v>
      </c>
      <c r="E22" s="144">
        <f t="shared" si="1"/>
        <v>0</v>
      </c>
      <c r="F22" s="163" t="s">
        <v>13</v>
      </c>
      <c r="G22" s="85">
        <f>'①設計シート（同時使用率３F）'!G22</f>
        <v>0</v>
      </c>
      <c r="H22" s="13" t="str">
        <f t="shared" si="2"/>
        <v/>
      </c>
      <c r="I22" s="68" t="str">
        <f t="shared" si="3"/>
        <v/>
      </c>
      <c r="J22" s="10"/>
    </row>
    <row r="23" spans="1:11">
      <c r="A23" s="163" t="s">
        <v>14</v>
      </c>
      <c r="B23" s="208">
        <f>'①設計シート（同時使用率３F）'!B23</f>
        <v>0</v>
      </c>
      <c r="C23" s="208">
        <f>'①設計シート（同時使用率３F）'!C23</f>
        <v>0</v>
      </c>
      <c r="D23" s="68">
        <f t="shared" si="0"/>
        <v>0</v>
      </c>
      <c r="E23" s="144">
        <f t="shared" si="1"/>
        <v>0</v>
      </c>
      <c r="F23" s="163" t="s">
        <v>14</v>
      </c>
      <c r="G23" s="85">
        <f>'①設計シート（同時使用率３F）'!G23</f>
        <v>0</v>
      </c>
      <c r="H23" s="13" t="str">
        <f t="shared" si="2"/>
        <v/>
      </c>
      <c r="I23" s="68" t="str">
        <f t="shared" si="3"/>
        <v/>
      </c>
      <c r="J23" s="10"/>
    </row>
    <row r="24" spans="1:11">
      <c r="A24" s="163"/>
      <c r="B24" s="208">
        <f>'①設計シート（同時使用率３F）'!B24</f>
        <v>0</v>
      </c>
      <c r="C24" s="208">
        <f>'①設計シート（同時使用率３F）'!C24</f>
        <v>0</v>
      </c>
      <c r="D24" s="68">
        <f t="shared" si="0"/>
        <v>0</v>
      </c>
      <c r="E24" s="144">
        <f t="shared" si="1"/>
        <v>0</v>
      </c>
      <c r="F24" s="163"/>
      <c r="G24" s="85">
        <f>'①設計シート（同時使用率３F）'!G24</f>
        <v>0</v>
      </c>
      <c r="H24" s="13" t="str">
        <f t="shared" si="2"/>
        <v/>
      </c>
      <c r="I24" s="68" t="str">
        <f t="shared" si="3"/>
        <v/>
      </c>
      <c r="J24" s="10"/>
    </row>
    <row r="25" spans="1:11" ht="14.25" thickBot="1">
      <c r="A25" s="164"/>
      <c r="B25" s="159">
        <f>'①設計シート（同時使用率３F）'!B25</f>
        <v>0</v>
      </c>
      <c r="C25" s="159">
        <f>'①設計シート（同時使用率３F）'!C25</f>
        <v>0</v>
      </c>
      <c r="D25" s="70">
        <f t="shared" si="0"/>
        <v>0</v>
      </c>
      <c r="E25" s="144">
        <f t="shared" si="1"/>
        <v>0</v>
      </c>
      <c r="F25" s="165"/>
      <c r="G25" s="85">
        <f>'①設計シート（同時使用率３F）'!G25</f>
        <v>0</v>
      </c>
      <c r="H25" s="89" t="str">
        <f t="shared" si="2"/>
        <v/>
      </c>
      <c r="I25" s="90" t="str">
        <f t="shared" si="3"/>
        <v/>
      </c>
      <c r="J25" s="10"/>
    </row>
    <row r="26" spans="1:11" ht="14.25" thickBot="1">
      <c r="A26" s="77" t="s">
        <v>16</v>
      </c>
      <c r="B26" s="159" t="str">
        <f>IF(SUM(B10:B25),SUM(B10:B25)," ")</f>
        <v xml:space="preserve"> </v>
      </c>
      <c r="C26" s="71"/>
      <c r="D26" s="157" t="str">
        <f>IF(SUM(D10:D25),SUM(D10:D25)," ")</f>
        <v xml:space="preserve"> </v>
      </c>
      <c r="E26" s="18"/>
      <c r="F26" s="91" t="s">
        <v>27</v>
      </c>
      <c r="G26" s="160" t="str">
        <f>IF(SUM(G10:G25),SUM(G10:G25),"")</f>
        <v/>
      </c>
      <c r="H26" s="93" t="s">
        <v>132</v>
      </c>
      <c r="I26" s="238" t="str">
        <f>IF(SUM(I10:I25),SUM(I10:I25)," ")</f>
        <v xml:space="preserve"> </v>
      </c>
      <c r="J26" s="10"/>
    </row>
    <row r="27" spans="1:11">
      <c r="A27" s="8"/>
      <c r="C27" s="8"/>
      <c r="F27" s="47" t="str">
        <f>IF(G26="","",IF(G26&gt;G7,"同時使用水栓数が多すぎます。同時使用水栓数目標値："&amp;G7,IF(G26&lt;G7,"同時使用水栓数が足りていません。同時使用水栓数目標値："&amp;G7,"")))</f>
        <v/>
      </c>
      <c r="G27" s="44"/>
      <c r="H27" s="44"/>
      <c r="I27" s="44"/>
      <c r="J27" s="44"/>
    </row>
    <row r="28" spans="1:11" ht="15" thickBot="1">
      <c r="A28" s="128" t="s">
        <v>209</v>
      </c>
      <c r="C28" s="8"/>
      <c r="F28" s="47"/>
      <c r="G28" s="44"/>
      <c r="H28" s="44"/>
      <c r="I28" s="44"/>
    </row>
    <row r="29" spans="1:11">
      <c r="A29" s="95" t="s">
        <v>133</v>
      </c>
      <c r="B29" s="214">
        <f>'①設計シート（同時使用率３F）'!B29</f>
        <v>0</v>
      </c>
      <c r="C29" s="97" t="s">
        <v>134</v>
      </c>
      <c r="D29" s="308" t="s">
        <v>268</v>
      </c>
      <c r="E29" s="309"/>
      <c r="F29" s="303" t="s">
        <v>265</v>
      </c>
      <c r="G29" s="297" t="str">
        <f>IFERROR(B30/B29,"")</f>
        <v/>
      </c>
      <c r="H29" s="288" t="s">
        <v>271</v>
      </c>
      <c r="J29" s="179" t="s">
        <v>204</v>
      </c>
      <c r="K29" t="s">
        <v>207</v>
      </c>
    </row>
    <row r="30" spans="1:11">
      <c r="A30" s="235" t="s">
        <v>208</v>
      </c>
      <c r="B30" s="236">
        <f>ROUND(IF(B29&lt;10,J30,K30),1)</f>
        <v>0</v>
      </c>
      <c r="C30" s="237" t="s">
        <v>156</v>
      </c>
      <c r="D30" s="199" t="s">
        <v>252</v>
      </c>
      <c r="E30" s="57"/>
      <c r="F30" s="304"/>
      <c r="G30" s="298"/>
      <c r="H30" s="289"/>
      <c r="J30">
        <f>IF(B29="","",42*B29^0.33)</f>
        <v>0</v>
      </c>
      <c r="K30">
        <f>IF(B29="","",19*B29^0.67)</f>
        <v>0</v>
      </c>
    </row>
    <row r="31" spans="1:11">
      <c r="A31" s="141" t="s">
        <v>187</v>
      </c>
      <c r="B31" s="222">
        <f>'①設計シート（同時使用率３F）'!B33</f>
        <v>0</v>
      </c>
      <c r="C31" s="142" t="s">
        <v>170</v>
      </c>
      <c r="D31" s="18" t="str">
        <f>IF('①設計シート（同時使用率３F）'!B33="","",IF(AND(B30&lt;=65,B31&lt;=49),"エラー　3階までの直結直圧はできません",IF(AND(B30&gt;=66,B31&lt;=74),"エラー　3階までの直結直圧はできません",IF(AND(B30&lt;=65,B31&gt;=50),"",IF(AND(B30&gt;=66,B31&gt;=75),"")))))</f>
        <v/>
      </c>
      <c r="E31" s="52"/>
      <c r="F31" s="154"/>
      <c r="G31" s="154"/>
    </row>
    <row r="32" spans="1:11" ht="14.25" thickBot="1">
      <c r="A32" s="100" t="s">
        <v>164</v>
      </c>
      <c r="B32" s="215">
        <f>'①設計シート（同時使用率３F）'!B34</f>
        <v>0</v>
      </c>
      <c r="C32" s="102" t="s">
        <v>28</v>
      </c>
      <c r="D32" s="18" t="str">
        <f>IF('①設計シート（同時使用率３F）'!B34="","",IF(B32&lt;0.2,"エラー　3階までの直結直圧はできません",""))</f>
        <v/>
      </c>
    </row>
    <row r="34" spans="1:11" ht="15" thickBot="1">
      <c r="A34" s="129" t="s">
        <v>181</v>
      </c>
    </row>
    <row r="35" spans="1:11">
      <c r="A35" s="103" t="s">
        <v>29</v>
      </c>
      <c r="B35" s="104" t="str">
        <f>IFERROR(I26/1000/60,"")</f>
        <v/>
      </c>
      <c r="C35" s="111" t="s">
        <v>178</v>
      </c>
    </row>
    <row r="36" spans="1:11">
      <c r="A36" s="67" t="s">
        <v>30</v>
      </c>
      <c r="B36" s="59">
        <f>'①設計シート（同時使用率３F）'!B38</f>
        <v>2</v>
      </c>
      <c r="C36" s="155" t="s">
        <v>177</v>
      </c>
      <c r="D36" s="276" t="str">
        <f>IF(B36&gt;2,"設定値が上限を超えています。（2.0以下とする)","")</f>
        <v/>
      </c>
      <c r="E36" s="276"/>
      <c r="F36" s="276"/>
      <c r="G36" s="276"/>
    </row>
    <row r="37" spans="1:11" ht="14.25" thickBot="1">
      <c r="A37" s="106" t="s">
        <v>166</v>
      </c>
      <c r="B37" s="107" t="str">
        <f>IFERROR(ROUND((SQRT(4*B35/(PI()*B36))*1000),0),"")</f>
        <v/>
      </c>
      <c r="C37" s="108" t="s">
        <v>31</v>
      </c>
      <c r="D37" s="272" t="s">
        <v>165</v>
      </c>
      <c r="E37" s="273"/>
      <c r="F37" s="143" t="s">
        <v>189</v>
      </c>
      <c r="G37" s="64" t="str">
        <f>IFERROR(VLOOKUP(B37,表!B37:C82,2,FALSE),"")</f>
        <v/>
      </c>
      <c r="H37" s="63" t="s">
        <v>33</v>
      </c>
    </row>
    <row r="38" spans="1:11">
      <c r="D38" s="273" t="s">
        <v>165</v>
      </c>
      <c r="E38" s="273"/>
      <c r="F38" s="143" t="s">
        <v>190</v>
      </c>
      <c r="G38" s="194"/>
      <c r="H38" s="63" t="s">
        <v>33</v>
      </c>
      <c r="I38" s="49"/>
    </row>
    <row r="39" spans="1:11" ht="15" thickBot="1">
      <c r="A39" s="129" t="s">
        <v>182</v>
      </c>
      <c r="B39" s="8"/>
      <c r="F39" s="53"/>
    </row>
    <row r="40" spans="1:11">
      <c r="A40" s="103" t="s">
        <v>29</v>
      </c>
      <c r="B40" s="104">
        <f>IFERROR(B30/1000/60,"")</f>
        <v>0</v>
      </c>
      <c r="C40" s="105" t="s">
        <v>178</v>
      </c>
    </row>
    <row r="41" spans="1:11">
      <c r="A41" s="109" t="s">
        <v>30</v>
      </c>
      <c r="B41" s="216">
        <f>'①設計シート（同時使用率３F）'!B43</f>
        <v>2</v>
      </c>
      <c r="C41" s="156" t="s">
        <v>177</v>
      </c>
    </row>
    <row r="42" spans="1:11" ht="14.25" thickBot="1">
      <c r="A42" s="69" t="s">
        <v>169</v>
      </c>
      <c r="B42" s="110">
        <f>IFERROR(ROUND((SQRT(4*B40/(PI()*B41))*1000),0),"")</f>
        <v>0</v>
      </c>
      <c r="C42" s="108" t="s">
        <v>170</v>
      </c>
      <c r="D42" s="272" t="s">
        <v>165</v>
      </c>
      <c r="E42" s="273"/>
      <c r="F42" s="62" t="s">
        <v>138</v>
      </c>
      <c r="G42" s="64" t="str">
        <f>IFERROR(VLOOKUP(B42,表!B37:C107,2,FALSE),"")</f>
        <v/>
      </c>
      <c r="H42" s="63" t="s">
        <v>33</v>
      </c>
    </row>
    <row r="43" spans="1:11">
      <c r="A43" s="55"/>
      <c r="B43" s="55"/>
      <c r="C43" s="25"/>
      <c r="D43" s="8"/>
      <c r="F43" s="144" t="str">
        <f>IF(G42="","",IF(G42&lt;50,"",IF(B31&gt;=100,"","配水管が100㎜以下のため3階までの直結直圧はできません")))</f>
        <v/>
      </c>
    </row>
    <row r="44" spans="1:11" ht="15" thickBot="1">
      <c r="A44" s="130" t="s">
        <v>191</v>
      </c>
    </row>
    <row r="45" spans="1:11" ht="13.5" customHeight="1">
      <c r="A45" s="262" t="s">
        <v>55</v>
      </c>
      <c r="B45" s="252" t="s">
        <v>153</v>
      </c>
      <c r="C45" s="264"/>
      <c r="D45" s="206" t="s">
        <v>32</v>
      </c>
      <c r="E45" s="112" t="s">
        <v>45</v>
      </c>
      <c r="F45" s="112" t="s">
        <v>77</v>
      </c>
      <c r="G45" s="112" t="s">
        <v>43</v>
      </c>
      <c r="H45" s="112" t="s">
        <v>152</v>
      </c>
      <c r="I45" s="66" t="s">
        <v>44</v>
      </c>
      <c r="J45" s="245" t="s">
        <v>162</v>
      </c>
      <c r="K45" s="245" t="s">
        <v>161</v>
      </c>
    </row>
    <row r="46" spans="1:11" ht="14.25" thickBot="1">
      <c r="A46" s="263"/>
      <c r="B46" s="254"/>
      <c r="C46" s="265"/>
      <c r="D46" s="207" t="s">
        <v>83</v>
      </c>
      <c r="E46" s="125" t="s">
        <v>156</v>
      </c>
      <c r="F46" s="125" t="s">
        <v>82</v>
      </c>
      <c r="G46" s="125" t="s">
        <v>81</v>
      </c>
      <c r="H46" s="125" t="s">
        <v>85</v>
      </c>
      <c r="I46" s="126" t="s">
        <v>84</v>
      </c>
      <c r="J46" s="245"/>
      <c r="K46" s="245"/>
    </row>
    <row r="47" spans="1:11">
      <c r="A47" s="217" t="str">
        <f>'①設計シート（同時使用率３F）'!A49</f>
        <v>A</v>
      </c>
      <c r="B47" s="266" t="s">
        <v>46</v>
      </c>
      <c r="C47" s="267"/>
      <c r="D47" s="80"/>
      <c r="E47" s="41"/>
      <c r="F47" s="30" t="str">
        <f t="shared" ref="F47:F57" si="4">IFERROR((E47/1000/60)/((D47/1000)^2*PI()/4),"  ")</f>
        <v xml:space="preserve">  </v>
      </c>
      <c r="G47" s="30" t="str">
        <f t="shared" ref="G47:G57" si="5">IFERROR(I47/H47*1000," ")</f>
        <v xml:space="preserve"> </v>
      </c>
      <c r="H47" s="218">
        <f>'①設計シート（同時使用率３F）'!H49</f>
        <v>0</v>
      </c>
      <c r="I47" s="123" t="str">
        <f>IF(D47&lt;=50,J47,K47)</f>
        <v>　</v>
      </c>
      <c r="J47" t="str">
        <f>IFERROR(((0.0126+(0.01739-0.1087*(D47/1000))/SQRT(F47))*H47/(D47/1000)*F47^2/(2*9.8)),"　")</f>
        <v>　</v>
      </c>
      <c r="K47" t="str">
        <f t="shared" ref="K47:K83" si="6">IFERROR(10.666*(140^(-1.85) )*((D47/1000)^(-4.87))*(((E47/1000)/60)^1.85)*H47,"")</f>
        <v/>
      </c>
    </row>
    <row r="48" spans="1:11">
      <c r="A48" s="217" t="str">
        <f>'①設計シート（同時使用率３F）'!A50</f>
        <v>B</v>
      </c>
      <c r="B48" s="268" t="s">
        <v>47</v>
      </c>
      <c r="C48" s="269"/>
      <c r="D48" s="75"/>
      <c r="E48" s="4"/>
      <c r="F48" s="2" t="str">
        <f t="shared" si="4"/>
        <v xml:space="preserve">  </v>
      </c>
      <c r="G48" s="2" t="str">
        <f t="shared" si="5"/>
        <v xml:space="preserve"> </v>
      </c>
      <c r="H48" s="218">
        <f>'①設計シート（同時使用率３F）'!H50</f>
        <v>0</v>
      </c>
      <c r="I48" s="114" t="str">
        <f t="shared" ref="I48:I57" si="7">IF(D48&lt;=50,J48,K48)</f>
        <v>　</v>
      </c>
      <c r="J48" t="str">
        <f t="shared" ref="J48:J83" si="8">IFERROR(((0.0126+(0.01739-0.1087*(D48/1000))/SQRT(F48))*H48/(D48/1000)*F48^2/(2*9.8)),"　")</f>
        <v>　</v>
      </c>
      <c r="K48" t="str">
        <f t="shared" si="6"/>
        <v/>
      </c>
    </row>
    <row r="49" spans="1:11">
      <c r="A49" s="217" t="str">
        <f>'①設計シート（同時使用率３F）'!A51</f>
        <v>C</v>
      </c>
      <c r="B49" s="268" t="s">
        <v>48</v>
      </c>
      <c r="C49" s="269"/>
      <c r="D49" s="75"/>
      <c r="E49" s="4"/>
      <c r="F49" s="2" t="str">
        <f t="shared" si="4"/>
        <v xml:space="preserve">  </v>
      </c>
      <c r="G49" s="2" t="str">
        <f t="shared" si="5"/>
        <v xml:space="preserve"> </v>
      </c>
      <c r="H49" s="218">
        <f>'①設計シート（同時使用率３F）'!H51</f>
        <v>0</v>
      </c>
      <c r="I49" s="114" t="str">
        <f t="shared" si="7"/>
        <v>　</v>
      </c>
      <c r="J49" t="str">
        <f t="shared" si="8"/>
        <v>　</v>
      </c>
      <c r="K49" t="str">
        <f t="shared" si="6"/>
        <v/>
      </c>
    </row>
    <row r="50" spans="1:11">
      <c r="A50" s="217" t="str">
        <f>'①設計シート（同時使用率３F）'!A52</f>
        <v>D</v>
      </c>
      <c r="B50" s="268" t="s">
        <v>49</v>
      </c>
      <c r="C50" s="269"/>
      <c r="D50" s="75"/>
      <c r="E50" s="4"/>
      <c r="F50" s="2" t="str">
        <f t="shared" si="4"/>
        <v xml:space="preserve">  </v>
      </c>
      <c r="G50" s="2" t="str">
        <f t="shared" si="5"/>
        <v xml:space="preserve"> </v>
      </c>
      <c r="H50" s="218">
        <f>'①設計シート（同時使用率３F）'!H52</f>
        <v>0</v>
      </c>
      <c r="I50" s="114" t="str">
        <f t="shared" si="7"/>
        <v>　</v>
      </c>
      <c r="J50" t="str">
        <f t="shared" si="8"/>
        <v>　</v>
      </c>
      <c r="K50" t="str">
        <f t="shared" si="6"/>
        <v/>
      </c>
    </row>
    <row r="51" spans="1:11">
      <c r="A51" s="217" t="str">
        <f>'①設計シート（同時使用率３F）'!A53</f>
        <v>E</v>
      </c>
      <c r="B51" s="268" t="s">
        <v>50</v>
      </c>
      <c r="C51" s="269"/>
      <c r="D51" s="75"/>
      <c r="E51" s="4"/>
      <c r="F51" s="2" t="str">
        <f t="shared" si="4"/>
        <v xml:space="preserve">  </v>
      </c>
      <c r="G51" s="2" t="str">
        <f t="shared" si="5"/>
        <v xml:space="preserve"> </v>
      </c>
      <c r="H51" s="218">
        <f>'①設計シート（同時使用率３F）'!H53</f>
        <v>0</v>
      </c>
      <c r="I51" s="114" t="str">
        <f t="shared" si="7"/>
        <v>　</v>
      </c>
      <c r="J51" t="str">
        <f t="shared" si="8"/>
        <v>　</v>
      </c>
      <c r="K51" t="str">
        <f t="shared" si="6"/>
        <v/>
      </c>
    </row>
    <row r="52" spans="1:11">
      <c r="A52" s="217" t="str">
        <f>'①設計シート（同時使用率３F）'!A54</f>
        <v>F</v>
      </c>
      <c r="B52" s="268" t="s">
        <v>51</v>
      </c>
      <c r="C52" s="269"/>
      <c r="D52" s="75"/>
      <c r="E52" s="4"/>
      <c r="F52" s="2" t="str">
        <f t="shared" si="4"/>
        <v xml:space="preserve">  </v>
      </c>
      <c r="G52" s="2" t="str">
        <f t="shared" si="5"/>
        <v xml:space="preserve"> </v>
      </c>
      <c r="H52" s="218">
        <f>'①設計シート（同時使用率３F）'!H54</f>
        <v>0</v>
      </c>
      <c r="I52" s="114" t="str">
        <f t="shared" si="7"/>
        <v>　</v>
      </c>
      <c r="J52" t="str">
        <f t="shared" si="8"/>
        <v>　</v>
      </c>
      <c r="K52" t="str">
        <f t="shared" si="6"/>
        <v/>
      </c>
    </row>
    <row r="53" spans="1:11">
      <c r="A53" s="217" t="str">
        <f>'①設計シート（同時使用率３F）'!A55</f>
        <v>G</v>
      </c>
      <c r="B53" s="268" t="s">
        <v>52</v>
      </c>
      <c r="C53" s="269"/>
      <c r="D53" s="75"/>
      <c r="E53" s="4"/>
      <c r="F53" s="2" t="str">
        <f t="shared" si="4"/>
        <v xml:space="preserve">  </v>
      </c>
      <c r="G53" s="2" t="str">
        <f t="shared" si="5"/>
        <v xml:space="preserve"> </v>
      </c>
      <c r="H53" s="218">
        <f>'①設計シート（同時使用率３F）'!H55</f>
        <v>0</v>
      </c>
      <c r="I53" s="114" t="str">
        <f t="shared" si="7"/>
        <v>　</v>
      </c>
      <c r="J53" t="str">
        <f t="shared" si="8"/>
        <v>　</v>
      </c>
      <c r="K53" t="str">
        <f t="shared" si="6"/>
        <v/>
      </c>
    </row>
    <row r="54" spans="1:11">
      <c r="A54" s="217" t="str">
        <f>'①設計シート（同時使用率３F）'!A56</f>
        <v>H</v>
      </c>
      <c r="B54" s="268" t="s">
        <v>53</v>
      </c>
      <c r="C54" s="269"/>
      <c r="D54" s="75"/>
      <c r="E54" s="4"/>
      <c r="F54" s="2" t="str">
        <f t="shared" si="4"/>
        <v xml:space="preserve">  </v>
      </c>
      <c r="G54" s="2" t="str">
        <f t="shared" si="5"/>
        <v xml:space="preserve"> </v>
      </c>
      <c r="H54" s="218">
        <f>'①設計シート（同時使用率３F）'!H56</f>
        <v>0</v>
      </c>
      <c r="I54" s="114" t="str">
        <f t="shared" si="7"/>
        <v>　</v>
      </c>
      <c r="J54" t="str">
        <f t="shared" si="8"/>
        <v>　</v>
      </c>
      <c r="K54" t="str">
        <f t="shared" si="6"/>
        <v/>
      </c>
    </row>
    <row r="55" spans="1:11">
      <c r="A55" s="217" t="str">
        <f>'①設計シート（同時使用率３F）'!A57</f>
        <v>I</v>
      </c>
      <c r="B55" s="268" t="s">
        <v>54</v>
      </c>
      <c r="C55" s="269"/>
      <c r="D55" s="75"/>
      <c r="E55" s="4"/>
      <c r="F55" s="2" t="str">
        <f t="shared" si="4"/>
        <v xml:space="preserve">  </v>
      </c>
      <c r="G55" s="2" t="str">
        <f t="shared" si="5"/>
        <v xml:space="preserve"> </v>
      </c>
      <c r="H55" s="218">
        <f>'①設計シート（同時使用率３F）'!H57</f>
        <v>0</v>
      </c>
      <c r="I55" s="114" t="str">
        <f t="shared" si="7"/>
        <v>　</v>
      </c>
      <c r="J55" t="str">
        <f t="shared" si="8"/>
        <v>　</v>
      </c>
      <c r="K55" t="str">
        <f t="shared" si="6"/>
        <v/>
      </c>
    </row>
    <row r="56" spans="1:11">
      <c r="A56" s="217" t="str">
        <f>'①設計シート（同時使用率３F）'!A58</f>
        <v>J</v>
      </c>
      <c r="B56" s="258" t="s">
        <v>175</v>
      </c>
      <c r="C56" s="259"/>
      <c r="D56" s="80"/>
      <c r="E56" s="41"/>
      <c r="F56" s="30" t="str">
        <f t="shared" si="4"/>
        <v xml:space="preserve">  </v>
      </c>
      <c r="G56" s="30" t="str">
        <f t="shared" si="5"/>
        <v xml:space="preserve"> </v>
      </c>
      <c r="H56" s="218">
        <f>'①設計シート（同時使用率３F）'!H58</f>
        <v>0</v>
      </c>
      <c r="I56" s="123" t="str">
        <f>IF(D56&lt;=50,J56,K56)</f>
        <v>　</v>
      </c>
      <c r="J56" t="str">
        <f t="shared" si="8"/>
        <v>　</v>
      </c>
      <c r="K56" t="str">
        <f t="shared" si="6"/>
        <v/>
      </c>
    </row>
    <row r="57" spans="1:11" ht="14.25" thickBot="1">
      <c r="A57" s="219" t="str">
        <f>'①設計シート（同時使用率３F）'!A59</f>
        <v>K</v>
      </c>
      <c r="B57" s="260" t="s">
        <v>176</v>
      </c>
      <c r="C57" s="261"/>
      <c r="D57" s="75"/>
      <c r="E57" s="4"/>
      <c r="F57" s="26" t="str">
        <f t="shared" si="4"/>
        <v xml:space="preserve">  </v>
      </c>
      <c r="G57" s="26" t="str">
        <f t="shared" si="5"/>
        <v xml:space="preserve"> </v>
      </c>
      <c r="H57" s="218">
        <f>'①設計シート（同時使用率３F）'!H59</f>
        <v>0</v>
      </c>
      <c r="I57" s="114" t="str">
        <f t="shared" si="7"/>
        <v>　</v>
      </c>
      <c r="J57" t="str">
        <f t="shared" si="8"/>
        <v>　</v>
      </c>
      <c r="K57" t="str">
        <f t="shared" si="6"/>
        <v/>
      </c>
    </row>
    <row r="58" spans="1:11" ht="14.25" thickBot="1">
      <c r="A58" s="248" t="s">
        <v>57</v>
      </c>
      <c r="B58" s="249"/>
      <c r="C58" s="249"/>
      <c r="D58" s="250"/>
      <c r="E58" s="250"/>
      <c r="F58" s="250"/>
      <c r="G58" s="250"/>
      <c r="H58" s="251"/>
      <c r="I58" s="116" t="str">
        <f>IF(SUM(I47:I57),SUM(I47:I57)," ")</f>
        <v xml:space="preserve"> </v>
      </c>
      <c r="J58" t="str">
        <f t="shared" si="8"/>
        <v>　</v>
      </c>
      <c r="K58" t="str">
        <f t="shared" si="6"/>
        <v/>
      </c>
    </row>
    <row r="59" spans="1:11">
      <c r="A59" s="8"/>
      <c r="J59" t="str">
        <f t="shared" si="8"/>
        <v>　</v>
      </c>
      <c r="K59" t="str">
        <f t="shared" si="6"/>
        <v/>
      </c>
    </row>
    <row r="60" spans="1:11" ht="15" thickBot="1">
      <c r="A60" s="131" t="s">
        <v>192</v>
      </c>
      <c r="C60" s="192" t="s">
        <v>230</v>
      </c>
      <c r="J60" t="str">
        <f t="shared" si="8"/>
        <v>　</v>
      </c>
      <c r="K60" t="str">
        <f t="shared" si="6"/>
        <v/>
      </c>
    </row>
    <row r="61" spans="1:11">
      <c r="A61" s="262" t="s">
        <v>55</v>
      </c>
      <c r="B61" s="252" t="s">
        <v>75</v>
      </c>
      <c r="C61" s="253"/>
      <c r="D61" s="112" t="s">
        <v>126</v>
      </c>
      <c r="E61" s="112" t="s">
        <v>45</v>
      </c>
      <c r="F61" s="112" t="s">
        <v>77</v>
      </c>
      <c r="G61" s="112" t="s">
        <v>43</v>
      </c>
      <c r="H61" s="112" t="s">
        <v>66</v>
      </c>
      <c r="I61" s="66" t="s">
        <v>44</v>
      </c>
      <c r="J61" t="str">
        <f t="shared" si="8"/>
        <v>　</v>
      </c>
      <c r="K61" t="str">
        <f t="shared" si="6"/>
        <v/>
      </c>
    </row>
    <row r="62" spans="1:11" ht="14.25" thickBot="1">
      <c r="A62" s="263"/>
      <c r="B62" s="254"/>
      <c r="C62" s="255"/>
      <c r="D62" s="125" t="s">
        <v>83</v>
      </c>
      <c r="E62" s="125" t="s">
        <v>156</v>
      </c>
      <c r="F62" s="125" t="s">
        <v>82</v>
      </c>
      <c r="G62" s="125" t="s">
        <v>81</v>
      </c>
      <c r="H62" s="125" t="s">
        <v>85</v>
      </c>
      <c r="I62" s="126" t="s">
        <v>84</v>
      </c>
      <c r="J62" t="str">
        <f t="shared" si="8"/>
        <v>　</v>
      </c>
      <c r="K62" t="str">
        <f t="shared" si="6"/>
        <v/>
      </c>
    </row>
    <row r="63" spans="1:11">
      <c r="A63" s="217">
        <f>'①設計シート（同時使用率３F）'!A65</f>
        <v>0</v>
      </c>
      <c r="B63" s="301">
        <f>'①設計シート（同時使用率３F）'!B65:C65</f>
        <v>0</v>
      </c>
      <c r="C63" s="302"/>
      <c r="D63" s="41"/>
      <c r="E63" s="41"/>
      <c r="F63" s="30" t="str">
        <f t="shared" ref="F63:F84" si="9">IFERROR((E63/1000/60)/((D63/1000)^2*PI()/4),"")</f>
        <v/>
      </c>
      <c r="G63" s="30" t="str">
        <f t="shared" ref="G63:G83" si="10">IFERROR(I63/H63*1000," ")</f>
        <v xml:space="preserve"> </v>
      </c>
      <c r="H63" s="218" t="str">
        <f>'①設計シート（同時使用率３F）'!H65</f>
        <v/>
      </c>
      <c r="I63" s="123" t="str">
        <f>IF(D63&lt;=50,J63,K63)</f>
        <v>　</v>
      </c>
      <c r="J63" t="str">
        <f>IFERROR(((0.0126+(0.01739-0.1087*(D63/1000))/SQRT(F63))*H63/(D63/1000)*F63^2/(2*9.8)),"　")</f>
        <v>　</v>
      </c>
      <c r="K63" t="str">
        <f t="shared" si="6"/>
        <v/>
      </c>
    </row>
    <row r="64" spans="1:11">
      <c r="A64" s="217">
        <f>'①設計シート（同時使用率３F）'!A66</f>
        <v>0</v>
      </c>
      <c r="B64" s="301">
        <f>'①設計シート（同時使用率３F）'!B66:C66</f>
        <v>0</v>
      </c>
      <c r="C64" s="302"/>
      <c r="D64" s="4"/>
      <c r="E64" s="4"/>
      <c r="F64" s="2" t="str">
        <f t="shared" si="9"/>
        <v/>
      </c>
      <c r="G64" s="2" t="str">
        <f t="shared" si="10"/>
        <v xml:space="preserve"> </v>
      </c>
      <c r="H64" s="218" t="str">
        <f>'①設計シート（同時使用率３F）'!H66</f>
        <v/>
      </c>
      <c r="I64" s="123" t="str">
        <f t="shared" ref="I64:I82" si="11">IF(D64&lt;=50,J64,K64)</f>
        <v>　</v>
      </c>
      <c r="J64" t="str">
        <f t="shared" si="8"/>
        <v>　</v>
      </c>
      <c r="K64" t="str">
        <f t="shared" si="6"/>
        <v/>
      </c>
    </row>
    <row r="65" spans="1:11">
      <c r="A65" s="217">
        <f>'①設計シート（同時使用率３F）'!A67</f>
        <v>0</v>
      </c>
      <c r="B65" s="301">
        <f>'①設計シート（同時使用率３F）'!B67:C67</f>
        <v>0</v>
      </c>
      <c r="C65" s="302"/>
      <c r="D65" s="4"/>
      <c r="E65" s="4"/>
      <c r="F65" s="2" t="str">
        <f t="shared" si="9"/>
        <v/>
      </c>
      <c r="G65" s="2" t="str">
        <f t="shared" si="10"/>
        <v xml:space="preserve"> </v>
      </c>
      <c r="H65" s="218" t="str">
        <f>'①設計シート（同時使用率３F）'!H67</f>
        <v/>
      </c>
      <c r="I65" s="123" t="str">
        <f t="shared" si="11"/>
        <v>　</v>
      </c>
      <c r="J65" t="str">
        <f t="shared" si="8"/>
        <v>　</v>
      </c>
      <c r="K65" t="str">
        <f t="shared" si="6"/>
        <v/>
      </c>
    </row>
    <row r="66" spans="1:11">
      <c r="A66" s="217">
        <f>'①設計シート（同時使用率３F）'!A68</f>
        <v>0</v>
      </c>
      <c r="B66" s="301">
        <f>'①設計シート（同時使用率３F）'!B68:C68</f>
        <v>0</v>
      </c>
      <c r="C66" s="302"/>
      <c r="D66" s="4"/>
      <c r="E66" s="4"/>
      <c r="F66" s="2" t="str">
        <f t="shared" si="9"/>
        <v/>
      </c>
      <c r="G66" s="2" t="str">
        <f t="shared" si="10"/>
        <v xml:space="preserve"> </v>
      </c>
      <c r="H66" s="218" t="str">
        <f>'①設計シート（同時使用率３F）'!H68</f>
        <v/>
      </c>
      <c r="I66" s="123" t="str">
        <f t="shared" si="11"/>
        <v>　</v>
      </c>
      <c r="J66" t="str">
        <f t="shared" si="8"/>
        <v>　</v>
      </c>
      <c r="K66" t="str">
        <f t="shared" si="6"/>
        <v/>
      </c>
    </row>
    <row r="67" spans="1:11">
      <c r="A67" s="217">
        <f>'①設計シート（同時使用率３F）'!A69</f>
        <v>0</v>
      </c>
      <c r="B67" s="301">
        <f>'①設計シート（同時使用率３F）'!B69:C69</f>
        <v>0</v>
      </c>
      <c r="C67" s="302"/>
      <c r="D67" s="4"/>
      <c r="E67" s="4"/>
      <c r="F67" s="2" t="str">
        <f t="shared" si="9"/>
        <v/>
      </c>
      <c r="G67" s="2" t="str">
        <f t="shared" si="10"/>
        <v xml:space="preserve"> </v>
      </c>
      <c r="H67" s="218" t="str">
        <f>'①設計シート（同時使用率３F）'!H69</f>
        <v/>
      </c>
      <c r="I67" s="123" t="str">
        <f t="shared" si="11"/>
        <v>　</v>
      </c>
      <c r="J67" t="str">
        <f t="shared" si="8"/>
        <v>　</v>
      </c>
      <c r="K67" t="str">
        <f t="shared" si="6"/>
        <v/>
      </c>
    </row>
    <row r="68" spans="1:11">
      <c r="A68" s="217">
        <f>'①設計シート（同時使用率３F）'!A70</f>
        <v>0</v>
      </c>
      <c r="B68" s="301">
        <f>'①設計シート（同時使用率３F）'!B70:C70</f>
        <v>0</v>
      </c>
      <c r="C68" s="302"/>
      <c r="D68" s="4"/>
      <c r="E68" s="4"/>
      <c r="F68" s="2" t="str">
        <f t="shared" si="9"/>
        <v/>
      </c>
      <c r="G68" s="2" t="str">
        <f t="shared" si="10"/>
        <v xml:space="preserve"> </v>
      </c>
      <c r="H68" s="218" t="str">
        <f>'①設計シート（同時使用率３F）'!H70</f>
        <v/>
      </c>
      <c r="I68" s="123" t="str">
        <f t="shared" si="11"/>
        <v>　</v>
      </c>
      <c r="J68" t="str">
        <f t="shared" si="8"/>
        <v>　</v>
      </c>
      <c r="K68" t="str">
        <f t="shared" si="6"/>
        <v/>
      </c>
    </row>
    <row r="69" spans="1:11">
      <c r="A69" s="217">
        <f>'①設計シート（同時使用率３F）'!A71</f>
        <v>0</v>
      </c>
      <c r="B69" s="301">
        <f>'①設計シート（同時使用率３F）'!B71:C71</f>
        <v>0</v>
      </c>
      <c r="C69" s="302"/>
      <c r="D69" s="4"/>
      <c r="E69" s="4"/>
      <c r="F69" s="2" t="str">
        <f t="shared" si="9"/>
        <v/>
      </c>
      <c r="G69" s="2" t="str">
        <f t="shared" si="10"/>
        <v xml:space="preserve"> </v>
      </c>
      <c r="H69" s="218" t="str">
        <f>'①設計シート（同時使用率３F）'!H71</f>
        <v/>
      </c>
      <c r="I69" s="123" t="str">
        <f t="shared" si="11"/>
        <v>　</v>
      </c>
      <c r="J69" t="str">
        <f t="shared" si="8"/>
        <v>　</v>
      </c>
      <c r="K69" t="str">
        <f t="shared" si="6"/>
        <v/>
      </c>
    </row>
    <row r="70" spans="1:11">
      <c r="A70" s="217">
        <f>'①設計シート（同時使用率３F）'!A72</f>
        <v>0</v>
      </c>
      <c r="B70" s="301">
        <f>'①設計シート（同時使用率３F）'!B72:C72</f>
        <v>0</v>
      </c>
      <c r="C70" s="302"/>
      <c r="D70" s="4"/>
      <c r="E70" s="4"/>
      <c r="F70" s="2" t="str">
        <f t="shared" si="9"/>
        <v/>
      </c>
      <c r="G70" s="2" t="str">
        <f t="shared" si="10"/>
        <v xml:space="preserve"> </v>
      </c>
      <c r="H70" s="218" t="str">
        <f>'①設計シート（同時使用率３F）'!H72</f>
        <v/>
      </c>
      <c r="I70" s="123" t="str">
        <f t="shared" si="11"/>
        <v>　</v>
      </c>
      <c r="J70" t="str">
        <f t="shared" si="8"/>
        <v>　</v>
      </c>
      <c r="K70" t="str">
        <f t="shared" si="6"/>
        <v/>
      </c>
    </row>
    <row r="71" spans="1:11">
      <c r="A71" s="217">
        <f>'①設計シート（同時使用率３F）'!A73</f>
        <v>0</v>
      </c>
      <c r="B71" s="301">
        <f>'①設計シート（同時使用率３F）'!B73:C73</f>
        <v>0</v>
      </c>
      <c r="C71" s="302"/>
      <c r="D71" s="4"/>
      <c r="E71" s="4"/>
      <c r="F71" s="2" t="str">
        <f t="shared" si="9"/>
        <v/>
      </c>
      <c r="G71" s="2" t="str">
        <f t="shared" si="10"/>
        <v xml:space="preserve"> </v>
      </c>
      <c r="H71" s="218" t="str">
        <f>'①設計シート（同時使用率３F）'!H73</f>
        <v/>
      </c>
      <c r="I71" s="123" t="str">
        <f t="shared" si="11"/>
        <v>　</v>
      </c>
      <c r="J71" t="str">
        <f t="shared" si="8"/>
        <v>　</v>
      </c>
      <c r="K71" t="str">
        <f t="shared" si="6"/>
        <v/>
      </c>
    </row>
    <row r="72" spans="1:11">
      <c r="A72" s="217">
        <f>'①設計シート（同時使用率３F）'!A74</f>
        <v>0</v>
      </c>
      <c r="B72" s="301">
        <f>'①設計シート（同時使用率３F）'!B74:C74</f>
        <v>0</v>
      </c>
      <c r="C72" s="302"/>
      <c r="D72" s="4"/>
      <c r="E72" s="4"/>
      <c r="F72" s="2" t="str">
        <f t="shared" si="9"/>
        <v/>
      </c>
      <c r="G72" s="2" t="str">
        <f t="shared" si="10"/>
        <v xml:space="preserve"> </v>
      </c>
      <c r="H72" s="218" t="str">
        <f>'①設計シート（同時使用率３F）'!H74</f>
        <v/>
      </c>
      <c r="I72" s="123" t="str">
        <f t="shared" si="11"/>
        <v>　</v>
      </c>
      <c r="J72" t="str">
        <f t="shared" si="8"/>
        <v>　</v>
      </c>
      <c r="K72" t="str">
        <f t="shared" si="6"/>
        <v/>
      </c>
    </row>
    <row r="73" spans="1:11">
      <c r="A73" s="217">
        <f>'①設計シート（同時使用率３F）'!A75</f>
        <v>0</v>
      </c>
      <c r="B73" s="301">
        <f>'①設計シート（同時使用率３F）'!B75:C75</f>
        <v>0</v>
      </c>
      <c r="C73" s="302"/>
      <c r="D73" s="4"/>
      <c r="E73" s="4"/>
      <c r="F73" s="2" t="str">
        <f t="shared" si="9"/>
        <v/>
      </c>
      <c r="G73" s="2" t="str">
        <f t="shared" si="10"/>
        <v xml:space="preserve"> </v>
      </c>
      <c r="H73" s="218">
        <f>'①設計シート（同時使用率３F）'!H75</f>
        <v>0</v>
      </c>
      <c r="I73" s="123" t="str">
        <f t="shared" si="11"/>
        <v>　</v>
      </c>
      <c r="J73" t="str">
        <f t="shared" si="8"/>
        <v>　</v>
      </c>
      <c r="K73" t="str">
        <f t="shared" si="6"/>
        <v/>
      </c>
    </row>
    <row r="74" spans="1:11">
      <c r="A74" s="217">
        <f>'①設計シート（同時使用率３F）'!A76</f>
        <v>0</v>
      </c>
      <c r="B74" s="301">
        <f>'①設計シート（同時使用率３F）'!B76:C76</f>
        <v>0</v>
      </c>
      <c r="C74" s="302"/>
      <c r="D74" s="29"/>
      <c r="E74" s="28"/>
      <c r="F74" s="26" t="str">
        <f t="shared" si="9"/>
        <v/>
      </c>
      <c r="G74" s="26" t="str">
        <f t="shared" si="10"/>
        <v xml:space="preserve"> </v>
      </c>
      <c r="H74" s="218" t="str">
        <f>'①設計シート（同時使用率３F）'!H76</f>
        <v/>
      </c>
      <c r="I74" s="123" t="str">
        <f t="shared" si="11"/>
        <v>　</v>
      </c>
      <c r="J74" t="str">
        <f t="shared" si="8"/>
        <v>　</v>
      </c>
      <c r="K74" t="str">
        <f t="shared" si="6"/>
        <v/>
      </c>
    </row>
    <row r="75" spans="1:11">
      <c r="A75" s="217">
        <f>'①設計シート（同時使用率３F）'!A77</f>
        <v>0</v>
      </c>
      <c r="B75" s="301">
        <f>'①設計シート（同時使用率３F）'!B77:C77</f>
        <v>0</v>
      </c>
      <c r="C75" s="302"/>
      <c r="D75" s="4"/>
      <c r="E75" s="4"/>
      <c r="F75" s="2" t="str">
        <f t="shared" si="9"/>
        <v/>
      </c>
      <c r="G75" s="2" t="str">
        <f t="shared" si="10"/>
        <v xml:space="preserve"> </v>
      </c>
      <c r="H75" s="218" t="str">
        <f>'①設計シート（同時使用率３F）'!H77</f>
        <v/>
      </c>
      <c r="I75" s="123" t="str">
        <f t="shared" si="11"/>
        <v>　</v>
      </c>
      <c r="J75" t="str">
        <f t="shared" si="8"/>
        <v>　</v>
      </c>
      <c r="K75" t="str">
        <f t="shared" si="6"/>
        <v/>
      </c>
    </row>
    <row r="76" spans="1:11">
      <c r="A76" s="217">
        <f>'①設計シート（同時使用率３F）'!A78</f>
        <v>0</v>
      </c>
      <c r="B76" s="301">
        <f>'①設計シート（同時使用率３F）'!B78:C78</f>
        <v>0</v>
      </c>
      <c r="C76" s="302"/>
      <c r="D76" s="4"/>
      <c r="E76" s="4"/>
      <c r="F76" s="2" t="str">
        <f t="shared" si="9"/>
        <v/>
      </c>
      <c r="G76" s="2" t="str">
        <f t="shared" si="10"/>
        <v xml:space="preserve"> </v>
      </c>
      <c r="H76" s="218" t="str">
        <f>'①設計シート（同時使用率３F）'!H78</f>
        <v/>
      </c>
      <c r="I76" s="123" t="str">
        <f t="shared" si="11"/>
        <v>　</v>
      </c>
      <c r="J76" t="str">
        <f t="shared" si="8"/>
        <v>　</v>
      </c>
      <c r="K76" t="str">
        <f t="shared" si="6"/>
        <v/>
      </c>
    </row>
    <row r="77" spans="1:11">
      <c r="A77" s="217">
        <f>'①設計シート（同時使用率３F）'!A79</f>
        <v>0</v>
      </c>
      <c r="B77" s="301">
        <f>'①設計シート（同時使用率３F）'!B79:C79</f>
        <v>0</v>
      </c>
      <c r="C77" s="302"/>
      <c r="D77" s="42"/>
      <c r="E77" s="4"/>
      <c r="F77" s="2" t="str">
        <f t="shared" si="9"/>
        <v/>
      </c>
      <c r="G77" s="2" t="str">
        <f t="shared" si="10"/>
        <v xml:space="preserve"> </v>
      </c>
      <c r="H77" s="218" t="str">
        <f>'①設計シート（同時使用率３F）'!H79</f>
        <v/>
      </c>
      <c r="I77" s="123" t="str">
        <f t="shared" si="11"/>
        <v>　</v>
      </c>
      <c r="J77" t="str">
        <f t="shared" si="8"/>
        <v>　</v>
      </c>
      <c r="K77" t="str">
        <f t="shared" si="6"/>
        <v/>
      </c>
    </row>
    <row r="78" spans="1:11">
      <c r="A78" s="217">
        <f>'①設計シート（同時使用率３F）'!A80</f>
        <v>0</v>
      </c>
      <c r="B78" s="301">
        <f>'①設計シート（同時使用率３F）'!B80:C80</f>
        <v>0</v>
      </c>
      <c r="C78" s="302"/>
      <c r="D78" s="42"/>
      <c r="E78" s="4"/>
      <c r="F78" s="2" t="str">
        <f t="shared" si="9"/>
        <v/>
      </c>
      <c r="G78" s="2" t="str">
        <f t="shared" si="10"/>
        <v xml:space="preserve"> </v>
      </c>
      <c r="H78" s="218" t="str">
        <f>'①設計シート（同時使用率３F）'!H80</f>
        <v/>
      </c>
      <c r="I78" s="123" t="str">
        <f t="shared" si="11"/>
        <v>　</v>
      </c>
      <c r="J78" t="str">
        <f t="shared" si="8"/>
        <v>　</v>
      </c>
      <c r="K78" t="str">
        <f t="shared" si="6"/>
        <v/>
      </c>
    </row>
    <row r="79" spans="1:11">
      <c r="A79" s="217">
        <f>'①設計シート（同時使用率３F）'!A81</f>
        <v>0</v>
      </c>
      <c r="B79" s="301">
        <f>'①設計シート（同時使用率３F）'!B81:C81</f>
        <v>0</v>
      </c>
      <c r="C79" s="302"/>
      <c r="D79" s="42"/>
      <c r="E79" s="4"/>
      <c r="F79" s="2" t="str">
        <f t="shared" si="9"/>
        <v/>
      </c>
      <c r="G79" s="2" t="str">
        <f t="shared" si="10"/>
        <v xml:space="preserve"> </v>
      </c>
      <c r="H79" s="218" t="str">
        <f>'①設計シート（同時使用率３F）'!H81</f>
        <v/>
      </c>
      <c r="I79" s="123" t="str">
        <f t="shared" si="11"/>
        <v>　</v>
      </c>
      <c r="J79" t="str">
        <f t="shared" si="8"/>
        <v>　</v>
      </c>
      <c r="K79" t="str">
        <f t="shared" si="6"/>
        <v/>
      </c>
    </row>
    <row r="80" spans="1:11">
      <c r="A80" s="217">
        <f>'①設計シート（同時使用率３F）'!A82</f>
        <v>0</v>
      </c>
      <c r="B80" s="301">
        <f>'①設計シート（同時使用率３F）'!B82:C82</f>
        <v>0</v>
      </c>
      <c r="C80" s="302"/>
      <c r="D80" s="42"/>
      <c r="E80" s="4"/>
      <c r="F80" s="2" t="str">
        <f t="shared" si="9"/>
        <v/>
      </c>
      <c r="G80" s="2" t="str">
        <f t="shared" si="10"/>
        <v xml:space="preserve"> </v>
      </c>
      <c r="H80" s="218" t="str">
        <f>'①設計シート（同時使用率３F）'!H82</f>
        <v/>
      </c>
      <c r="I80" s="123" t="str">
        <f t="shared" si="11"/>
        <v>　</v>
      </c>
      <c r="J80" t="str">
        <f t="shared" si="8"/>
        <v>　</v>
      </c>
      <c r="K80" t="str">
        <f t="shared" si="6"/>
        <v/>
      </c>
    </row>
    <row r="81" spans="1:11">
      <c r="A81" s="217">
        <f>'①設計シート（同時使用率３F）'!A83</f>
        <v>0</v>
      </c>
      <c r="B81" s="301">
        <f>'①設計シート（同時使用率３F）'!B83:C83</f>
        <v>0</v>
      </c>
      <c r="C81" s="302"/>
      <c r="D81" s="42"/>
      <c r="E81" s="4"/>
      <c r="F81" s="2" t="str">
        <f t="shared" si="9"/>
        <v/>
      </c>
      <c r="G81" s="2" t="str">
        <f t="shared" si="10"/>
        <v xml:space="preserve"> </v>
      </c>
      <c r="H81" s="218" t="str">
        <f>'①設計シート（同時使用率３F）'!H83</f>
        <v/>
      </c>
      <c r="I81" s="123" t="str">
        <f t="shared" si="11"/>
        <v>　</v>
      </c>
      <c r="J81" t="str">
        <f t="shared" si="8"/>
        <v>　</v>
      </c>
      <c r="K81" t="str">
        <f t="shared" si="6"/>
        <v/>
      </c>
    </row>
    <row r="82" spans="1:11">
      <c r="A82" s="217">
        <f>'①設計シート（同時使用率３F）'!A84</f>
        <v>0</v>
      </c>
      <c r="B82" s="301">
        <f>'①設計シート（同時使用率３F）'!B84:C84</f>
        <v>0</v>
      </c>
      <c r="C82" s="302"/>
      <c r="D82" s="42"/>
      <c r="E82" s="4"/>
      <c r="F82" s="2" t="str">
        <f t="shared" si="9"/>
        <v/>
      </c>
      <c r="G82" s="2" t="str">
        <f t="shared" si="10"/>
        <v xml:space="preserve"> </v>
      </c>
      <c r="H82" s="218" t="str">
        <f>'①設計シート（同時使用率３F）'!H84</f>
        <v/>
      </c>
      <c r="I82" s="123" t="str">
        <f t="shared" si="11"/>
        <v>　</v>
      </c>
      <c r="J82" t="str">
        <f t="shared" si="8"/>
        <v>　</v>
      </c>
      <c r="K82" t="str">
        <f t="shared" si="6"/>
        <v/>
      </c>
    </row>
    <row r="83" spans="1:11">
      <c r="A83" s="217">
        <f>'①設計シート（同時使用率３F）'!A85</f>
        <v>0</v>
      </c>
      <c r="B83" s="301">
        <f>'①設計シート（同時使用率３F）'!B85:C85</f>
        <v>0</v>
      </c>
      <c r="C83" s="302"/>
      <c r="D83" s="42"/>
      <c r="E83" s="4"/>
      <c r="F83" s="2" t="str">
        <f t="shared" si="9"/>
        <v/>
      </c>
      <c r="G83" s="2" t="str">
        <f t="shared" si="10"/>
        <v xml:space="preserve"> </v>
      </c>
      <c r="H83" s="59" t="str">
        <f>'①設計シート（同時使用率３F）'!H85</f>
        <v/>
      </c>
      <c r="I83" s="114" t="str">
        <f>IF(D83&lt;=50,J83,K83)</f>
        <v>　</v>
      </c>
      <c r="J83" t="str">
        <f t="shared" si="8"/>
        <v>　</v>
      </c>
      <c r="K83" t="str">
        <f t="shared" si="6"/>
        <v/>
      </c>
    </row>
    <row r="84" spans="1:11">
      <c r="A84" s="67"/>
      <c r="B84" s="2" t="s">
        <v>86</v>
      </c>
      <c r="C84" s="2"/>
      <c r="D84" s="218">
        <f>'①設計シート（同時使用率３F）'!D86</f>
        <v>0</v>
      </c>
      <c r="E84" s="30"/>
      <c r="F84" s="30" t="str">
        <f t="shared" si="9"/>
        <v/>
      </c>
      <c r="G84" s="30"/>
      <c r="H84" s="242" t="str">
        <f>'①設計シート（同時使用率３F）'!H86</f>
        <v/>
      </c>
      <c r="I84" s="123" t="str">
        <f>IF(D84&gt;0,1,"")</f>
        <v/>
      </c>
    </row>
    <row r="85" spans="1:11">
      <c r="A85" s="67"/>
      <c r="B85" s="2" t="s">
        <v>76</v>
      </c>
      <c r="C85" s="2"/>
      <c r="D85" s="3"/>
      <c r="E85" s="2"/>
      <c r="F85" s="2"/>
      <c r="G85" s="50"/>
      <c r="H85" s="51"/>
      <c r="I85" s="114">
        <f>'①設計シート（同時使用率３F）'!I87</f>
        <v>0</v>
      </c>
      <c r="J85" s="18" t="str">
        <f>IF(I85&gt;10,"エラー　制限高超え","")</f>
        <v/>
      </c>
    </row>
    <row r="86" spans="1:11">
      <c r="A86" s="67"/>
      <c r="B86" s="14" t="s">
        <v>186</v>
      </c>
      <c r="C86" s="16"/>
      <c r="D86" s="15"/>
      <c r="E86" s="16"/>
      <c r="F86" s="16"/>
      <c r="G86" s="16"/>
      <c r="H86" s="17"/>
      <c r="I86" s="114">
        <f>'①設計シート（同時使用率３F）'!I88</f>
        <v>0</v>
      </c>
      <c r="J86" s="8"/>
      <c r="K86" s="8"/>
    </row>
    <row r="87" spans="1:11" ht="14.25" thickBot="1">
      <c r="A87" s="72"/>
      <c r="B87" s="135" t="s">
        <v>125</v>
      </c>
      <c r="C87" s="136"/>
      <c r="D87" s="136"/>
      <c r="E87" s="136"/>
      <c r="F87" s="136"/>
      <c r="G87" s="136"/>
      <c r="H87" s="137"/>
      <c r="I87" s="116" t="str">
        <f>IF(SUM(I63:I86),SUM(I63:I86)," ")</f>
        <v xml:space="preserve"> </v>
      </c>
    </row>
    <row r="88" spans="1:11" ht="15" thickBot="1">
      <c r="A88" s="130" t="s">
        <v>193</v>
      </c>
    </row>
    <row r="89" spans="1:11" ht="13.5" customHeight="1">
      <c r="A89" s="262" t="s">
        <v>55</v>
      </c>
      <c r="B89" s="252" t="s">
        <v>153</v>
      </c>
      <c r="C89" s="264"/>
      <c r="D89" s="117" t="s">
        <v>32</v>
      </c>
      <c r="E89" s="112" t="s">
        <v>45</v>
      </c>
      <c r="F89" s="112" t="s">
        <v>77</v>
      </c>
      <c r="G89" s="112" t="s">
        <v>43</v>
      </c>
      <c r="H89" s="112" t="s">
        <v>152</v>
      </c>
      <c r="I89" s="66" t="s">
        <v>44</v>
      </c>
      <c r="J89" s="245" t="s">
        <v>162</v>
      </c>
      <c r="K89" s="245" t="s">
        <v>161</v>
      </c>
    </row>
    <row r="90" spans="1:11" ht="14.25" thickBot="1">
      <c r="A90" s="263"/>
      <c r="B90" s="254"/>
      <c r="C90" s="265"/>
      <c r="D90" s="138" t="s">
        <v>83</v>
      </c>
      <c r="E90" s="125" t="s">
        <v>156</v>
      </c>
      <c r="F90" s="125" t="s">
        <v>82</v>
      </c>
      <c r="G90" s="125" t="s">
        <v>81</v>
      </c>
      <c r="H90" s="125" t="s">
        <v>85</v>
      </c>
      <c r="I90" s="126" t="s">
        <v>84</v>
      </c>
      <c r="J90" s="245"/>
      <c r="K90" s="245"/>
    </row>
    <row r="91" spans="1:11">
      <c r="A91" s="223">
        <f>'①設計シート（同時使用率３F）'!A93</f>
        <v>0</v>
      </c>
      <c r="B91" s="310" t="s">
        <v>46</v>
      </c>
      <c r="C91" s="311"/>
      <c r="D91" s="80"/>
      <c r="E91" s="41"/>
      <c r="F91" s="30" t="str">
        <f t="shared" ref="F91:F101" si="12">IFERROR((E91/1000/60)/((D91/1000)^2*PI()/4),"  ")</f>
        <v xml:space="preserve">  </v>
      </c>
      <c r="G91" s="30" t="str">
        <f t="shared" ref="G91:G101" si="13">IFERROR(I91/H91*1000," ")</f>
        <v xml:space="preserve"> </v>
      </c>
      <c r="H91" s="218">
        <f>'①設計シート（同時使用率３F）'!H93</f>
        <v>0</v>
      </c>
      <c r="I91" s="123" t="str">
        <f>IF(D91&lt;=50,J91,K91)</f>
        <v>　</v>
      </c>
      <c r="J91" t="str">
        <f>IFERROR(((0.0126+(0.01739-0.1087*(D91/1000))/SQRT(F91))*H91/(D91/1000)*F91^2/(2*9.8)),"　")</f>
        <v>　</v>
      </c>
      <c r="K91" t="str">
        <f t="shared" ref="K91:K101" si="14">IFERROR(10.666*(140^(-1.85) )*((D91/1000)^(-4.87))*(((E91/1000)/60)^1.85)*H91,"")</f>
        <v/>
      </c>
    </row>
    <row r="92" spans="1:11">
      <c r="A92" s="217">
        <f>'①設計シート（同時使用率３F）'!A94</f>
        <v>0</v>
      </c>
      <c r="B92" s="268" t="s">
        <v>47</v>
      </c>
      <c r="C92" s="269"/>
      <c r="D92" s="75"/>
      <c r="E92" s="4"/>
      <c r="F92" s="2" t="str">
        <f t="shared" si="12"/>
        <v xml:space="preserve">  </v>
      </c>
      <c r="G92" s="2" t="str">
        <f t="shared" si="13"/>
        <v xml:space="preserve"> </v>
      </c>
      <c r="H92" s="218">
        <f>'①設計シート（同時使用率３F）'!H94</f>
        <v>0</v>
      </c>
      <c r="I92" s="114" t="str">
        <f t="shared" ref="I92:I99" si="15">IF(D92&lt;=50,J92,K92)</f>
        <v>　</v>
      </c>
      <c r="J92" t="str">
        <f t="shared" ref="J92:J101" si="16">IFERROR(((0.0126+(0.01739-0.1087*(D92/1000))/SQRT(F92))*H92/(D92/1000)*F92^2/(2*9.8)),"　")</f>
        <v>　</v>
      </c>
      <c r="K92" t="str">
        <f t="shared" si="14"/>
        <v/>
      </c>
    </row>
    <row r="93" spans="1:11">
      <c r="A93" s="217">
        <f>'①設計シート（同時使用率３F）'!A95</f>
        <v>0</v>
      </c>
      <c r="B93" s="268" t="s">
        <v>48</v>
      </c>
      <c r="C93" s="269"/>
      <c r="D93" s="75"/>
      <c r="E93" s="4"/>
      <c r="F93" s="2" t="str">
        <f t="shared" si="12"/>
        <v xml:space="preserve">  </v>
      </c>
      <c r="G93" s="2" t="str">
        <f t="shared" si="13"/>
        <v xml:space="preserve"> </v>
      </c>
      <c r="H93" s="218">
        <f>'①設計シート（同時使用率３F）'!H95</f>
        <v>0</v>
      </c>
      <c r="I93" s="114" t="str">
        <f t="shared" si="15"/>
        <v>　</v>
      </c>
      <c r="J93" t="str">
        <f t="shared" si="16"/>
        <v>　</v>
      </c>
      <c r="K93" t="str">
        <f t="shared" si="14"/>
        <v/>
      </c>
    </row>
    <row r="94" spans="1:11">
      <c r="A94" s="217">
        <f>'①設計シート（同時使用率３F）'!A96</f>
        <v>0</v>
      </c>
      <c r="B94" s="268" t="s">
        <v>49</v>
      </c>
      <c r="C94" s="269"/>
      <c r="D94" s="75"/>
      <c r="E94" s="4"/>
      <c r="F94" s="2" t="str">
        <f t="shared" si="12"/>
        <v xml:space="preserve">  </v>
      </c>
      <c r="G94" s="2" t="str">
        <f t="shared" si="13"/>
        <v xml:space="preserve"> </v>
      </c>
      <c r="H94" s="218">
        <f>'①設計シート（同時使用率３F）'!H96</f>
        <v>0</v>
      </c>
      <c r="I94" s="114" t="str">
        <f t="shared" si="15"/>
        <v>　</v>
      </c>
      <c r="J94" t="str">
        <f t="shared" si="16"/>
        <v>　</v>
      </c>
      <c r="K94" t="str">
        <f t="shared" si="14"/>
        <v/>
      </c>
    </row>
    <row r="95" spans="1:11">
      <c r="A95" s="217">
        <f>'①設計シート（同時使用率３F）'!A97</f>
        <v>0</v>
      </c>
      <c r="B95" s="268" t="s">
        <v>50</v>
      </c>
      <c r="C95" s="269"/>
      <c r="D95" s="75"/>
      <c r="E95" s="4"/>
      <c r="F95" s="2" t="str">
        <f t="shared" si="12"/>
        <v xml:space="preserve">  </v>
      </c>
      <c r="G95" s="2" t="str">
        <f t="shared" si="13"/>
        <v xml:space="preserve"> </v>
      </c>
      <c r="H95" s="218">
        <f>'①設計シート（同時使用率３F）'!H97</f>
        <v>0</v>
      </c>
      <c r="I95" s="114" t="str">
        <f t="shared" si="15"/>
        <v>　</v>
      </c>
      <c r="J95" t="str">
        <f t="shared" si="16"/>
        <v>　</v>
      </c>
      <c r="K95" t="str">
        <f t="shared" si="14"/>
        <v/>
      </c>
    </row>
    <row r="96" spans="1:11">
      <c r="A96" s="217">
        <f>'①設計シート（同時使用率３F）'!A98</f>
        <v>0</v>
      </c>
      <c r="B96" s="268" t="s">
        <v>51</v>
      </c>
      <c r="C96" s="269"/>
      <c r="D96" s="75"/>
      <c r="E96" s="4"/>
      <c r="F96" s="2" t="str">
        <f t="shared" si="12"/>
        <v xml:space="preserve">  </v>
      </c>
      <c r="G96" s="2" t="str">
        <f t="shared" si="13"/>
        <v xml:space="preserve"> </v>
      </c>
      <c r="H96" s="218">
        <f>'①設計シート（同時使用率３F）'!H98</f>
        <v>0</v>
      </c>
      <c r="I96" s="114" t="str">
        <f t="shared" si="15"/>
        <v>　</v>
      </c>
      <c r="J96" t="str">
        <f t="shared" si="16"/>
        <v>　</v>
      </c>
      <c r="K96" t="str">
        <f t="shared" si="14"/>
        <v/>
      </c>
    </row>
    <row r="97" spans="1:11">
      <c r="A97" s="217">
        <f>'①設計シート（同時使用率３F）'!A99</f>
        <v>0</v>
      </c>
      <c r="B97" s="268" t="s">
        <v>52</v>
      </c>
      <c r="C97" s="269"/>
      <c r="D97" s="75"/>
      <c r="E97" s="4"/>
      <c r="F97" s="2" t="str">
        <f t="shared" si="12"/>
        <v xml:space="preserve">  </v>
      </c>
      <c r="G97" s="2" t="str">
        <f t="shared" si="13"/>
        <v xml:space="preserve"> </v>
      </c>
      <c r="H97" s="218">
        <f>'①設計シート（同時使用率３F）'!H99</f>
        <v>0</v>
      </c>
      <c r="I97" s="114" t="str">
        <f t="shared" si="15"/>
        <v>　</v>
      </c>
      <c r="J97" t="str">
        <f t="shared" si="16"/>
        <v>　</v>
      </c>
      <c r="K97" t="str">
        <f t="shared" si="14"/>
        <v/>
      </c>
    </row>
    <row r="98" spans="1:11">
      <c r="A98" s="217">
        <f>'①設計シート（同時使用率３F）'!A100</f>
        <v>0</v>
      </c>
      <c r="B98" s="268" t="s">
        <v>53</v>
      </c>
      <c r="C98" s="269"/>
      <c r="D98" s="75"/>
      <c r="E98" s="4"/>
      <c r="F98" s="2" t="str">
        <f t="shared" si="12"/>
        <v xml:space="preserve">  </v>
      </c>
      <c r="G98" s="2" t="str">
        <f t="shared" si="13"/>
        <v xml:space="preserve"> </v>
      </c>
      <c r="H98" s="218">
        <f>'①設計シート（同時使用率３F）'!H100</f>
        <v>0</v>
      </c>
      <c r="I98" s="114" t="str">
        <f t="shared" si="15"/>
        <v>　</v>
      </c>
      <c r="J98" t="str">
        <f t="shared" si="16"/>
        <v>　</v>
      </c>
      <c r="K98" t="str">
        <f t="shared" si="14"/>
        <v/>
      </c>
    </row>
    <row r="99" spans="1:11">
      <c r="A99" s="217">
        <f>'①設計シート（同時使用率３F）'!A101</f>
        <v>0</v>
      </c>
      <c r="B99" s="268" t="s">
        <v>54</v>
      </c>
      <c r="C99" s="269"/>
      <c r="D99" s="75"/>
      <c r="E99" s="4"/>
      <c r="F99" s="2" t="str">
        <f t="shared" si="12"/>
        <v xml:space="preserve">  </v>
      </c>
      <c r="G99" s="2" t="str">
        <f t="shared" si="13"/>
        <v xml:space="preserve"> </v>
      </c>
      <c r="H99" s="218">
        <f>'①設計シート（同時使用率３F）'!H101</f>
        <v>0</v>
      </c>
      <c r="I99" s="114" t="str">
        <f t="shared" si="15"/>
        <v>　</v>
      </c>
      <c r="J99" t="str">
        <f t="shared" si="16"/>
        <v>　</v>
      </c>
      <c r="K99" t="str">
        <f t="shared" si="14"/>
        <v/>
      </c>
    </row>
    <row r="100" spans="1:11">
      <c r="A100" s="217">
        <f>'①設計シート（同時使用率３F）'!A102</f>
        <v>0</v>
      </c>
      <c r="B100" s="258" t="s">
        <v>175</v>
      </c>
      <c r="C100" s="259"/>
      <c r="D100" s="80"/>
      <c r="E100" s="41"/>
      <c r="F100" s="30" t="str">
        <f t="shared" si="12"/>
        <v xml:space="preserve">  </v>
      </c>
      <c r="G100" s="30" t="str">
        <f t="shared" si="13"/>
        <v xml:space="preserve"> </v>
      </c>
      <c r="H100" s="218">
        <f>'①設計シート（同時使用率３F）'!H102</f>
        <v>0</v>
      </c>
      <c r="I100" s="123" t="str">
        <f>IF(D100&lt;=50,J100,K100)</f>
        <v>　</v>
      </c>
      <c r="J100" t="str">
        <f t="shared" si="16"/>
        <v>　</v>
      </c>
      <c r="K100" t="str">
        <f t="shared" si="14"/>
        <v/>
      </c>
    </row>
    <row r="101" spans="1:11" ht="14.25" thickBot="1">
      <c r="A101" s="219">
        <f>'①設計シート（同時使用率３F）'!A103</f>
        <v>0</v>
      </c>
      <c r="B101" s="260" t="s">
        <v>176</v>
      </c>
      <c r="C101" s="261"/>
      <c r="D101" s="75"/>
      <c r="E101" s="4"/>
      <c r="F101" s="26" t="str">
        <f t="shared" si="12"/>
        <v xml:space="preserve">  </v>
      </c>
      <c r="G101" s="26" t="str">
        <f t="shared" si="13"/>
        <v xml:space="preserve"> </v>
      </c>
      <c r="H101" s="218">
        <f>'①設計シート（同時使用率３F）'!H103</f>
        <v>0</v>
      </c>
      <c r="I101" s="114" t="str">
        <f t="shared" ref="I101" si="17">IF(D101&lt;=50,J101,K101)</f>
        <v>　</v>
      </c>
      <c r="J101" t="str">
        <f t="shared" si="16"/>
        <v>　</v>
      </c>
      <c r="K101" t="str">
        <f t="shared" si="14"/>
        <v/>
      </c>
    </row>
    <row r="102" spans="1:11" ht="14.25" thickBot="1">
      <c r="A102" s="248" t="s">
        <v>57</v>
      </c>
      <c r="B102" s="249"/>
      <c r="C102" s="249"/>
      <c r="D102" s="250"/>
      <c r="E102" s="250"/>
      <c r="F102" s="250"/>
      <c r="G102" s="250"/>
      <c r="H102" s="251"/>
      <c r="I102" s="116" t="str">
        <f>IF(SUM(I91:I101),SUM(I91:I101)," ")</f>
        <v xml:space="preserve"> </v>
      </c>
      <c r="K102" t="str">
        <f>IFERROR(10.666*140^(-1.85) *(D102/1000)^(-4.87)*E102^1.85*H102,"")</f>
        <v/>
      </c>
    </row>
    <row r="103" spans="1:11">
      <c r="A103" s="8"/>
    </row>
    <row r="104" spans="1:11" ht="15" thickBot="1">
      <c r="A104" s="131" t="s">
        <v>194</v>
      </c>
      <c r="C104" s="192" t="s">
        <v>259</v>
      </c>
    </row>
    <row r="105" spans="1:11">
      <c r="A105" s="262" t="s">
        <v>55</v>
      </c>
      <c r="B105" s="252" t="s">
        <v>75</v>
      </c>
      <c r="C105" s="253"/>
      <c r="D105" s="112" t="s">
        <v>126</v>
      </c>
      <c r="E105" s="112" t="s">
        <v>45</v>
      </c>
      <c r="F105" s="112" t="s">
        <v>77</v>
      </c>
      <c r="G105" s="112" t="s">
        <v>43</v>
      </c>
      <c r="H105" s="112" t="s">
        <v>66</v>
      </c>
      <c r="I105" s="66" t="s">
        <v>44</v>
      </c>
    </row>
    <row r="106" spans="1:11" ht="14.25" thickBot="1">
      <c r="A106" s="263"/>
      <c r="B106" s="254"/>
      <c r="C106" s="255"/>
      <c r="D106" s="125" t="s">
        <v>83</v>
      </c>
      <c r="E106" s="125" t="s">
        <v>156</v>
      </c>
      <c r="F106" s="125" t="s">
        <v>82</v>
      </c>
      <c r="G106" s="125" t="s">
        <v>81</v>
      </c>
      <c r="H106" s="125" t="s">
        <v>85</v>
      </c>
      <c r="I106" s="126" t="s">
        <v>84</v>
      </c>
    </row>
    <row r="107" spans="1:11">
      <c r="A107" s="217">
        <f>'①設計シート（同時使用率３F）'!A109</f>
        <v>0</v>
      </c>
      <c r="B107" s="301">
        <f>'①設計シート（同時使用率３F）'!B109:C109</f>
        <v>0</v>
      </c>
      <c r="C107" s="302"/>
      <c r="D107" s="41"/>
      <c r="E107" s="41"/>
      <c r="F107" s="30" t="str">
        <f t="shared" ref="F107:F128" si="18">IFERROR((E107/1000/60)/((D107/1000)^2*PI()/4),"")</f>
        <v/>
      </c>
      <c r="G107" s="226" t="str">
        <f t="shared" ref="G107:G127" si="19">IFERROR(I107/H107*1000," ")</f>
        <v xml:space="preserve"> </v>
      </c>
      <c r="H107" s="104" t="str">
        <f>'①設計シート（同時使用率３F）'!H109</f>
        <v/>
      </c>
      <c r="I107" s="224" t="str">
        <f>IF(D107&lt;=50,J107,K107)</f>
        <v>　</v>
      </c>
      <c r="J107" t="str">
        <f>IFERROR(((0.0126+(0.01739-0.1087*(D107/1000))/SQRT(F107))*H107/(D107/1000)*F107^2/(2*9.8)),"　")</f>
        <v>　</v>
      </c>
      <c r="K107" t="str">
        <f>IFERROR(10.666*(140^(-1.85) )*((D107/1000)^(-4.87))*(((E107/1000)/60)^1.85)*H107,"")</f>
        <v/>
      </c>
    </row>
    <row r="108" spans="1:11">
      <c r="A108" s="217">
        <f>'①設計シート（同時使用率３F）'!A110</f>
        <v>0</v>
      </c>
      <c r="B108" s="301">
        <f>'①設計シート（同時使用率３F）'!B110:C110</f>
        <v>0</v>
      </c>
      <c r="C108" s="302"/>
      <c r="D108" s="4"/>
      <c r="E108" s="4"/>
      <c r="F108" s="2" t="str">
        <f t="shared" si="18"/>
        <v/>
      </c>
      <c r="G108" s="2" t="str">
        <f t="shared" si="19"/>
        <v xml:space="preserve"> </v>
      </c>
      <c r="H108" s="218" t="str">
        <f>'①設計シート（同時使用率３F）'!H110</f>
        <v/>
      </c>
      <c r="I108" s="224" t="str">
        <f t="shared" ref="I108:I127" si="20">IF(D108&lt;=50,J108,K108)</f>
        <v>　</v>
      </c>
      <c r="J108" t="str">
        <f t="shared" ref="J108:J127" si="21">IFERROR(((0.0126+(0.01739-0.1087*(D108/1000))/SQRT(F108))*H108/(D108/1000)*F108^2/(2*9.8)),"　")</f>
        <v>　</v>
      </c>
      <c r="K108" t="str">
        <f t="shared" ref="K108:K127" si="22">IFERROR(10.666*(140^(-1.85) )*((D108/1000)^(-4.87))*(((E108/1000)/60)^1.85)*H108,"")</f>
        <v/>
      </c>
    </row>
    <row r="109" spans="1:11">
      <c r="A109" s="217">
        <f>'①設計シート（同時使用率３F）'!A111</f>
        <v>0</v>
      </c>
      <c r="B109" s="301">
        <f>'①設計シート（同時使用率３F）'!B111:C111</f>
        <v>0</v>
      </c>
      <c r="C109" s="302"/>
      <c r="D109" s="4"/>
      <c r="E109" s="4"/>
      <c r="F109" s="2" t="str">
        <f t="shared" si="18"/>
        <v/>
      </c>
      <c r="G109" s="2" t="str">
        <f t="shared" si="19"/>
        <v xml:space="preserve"> </v>
      </c>
      <c r="H109" s="218" t="str">
        <f>'①設計シート（同時使用率３F）'!H111</f>
        <v/>
      </c>
      <c r="I109" s="224" t="str">
        <f t="shared" si="20"/>
        <v>　</v>
      </c>
      <c r="J109" t="str">
        <f t="shared" si="21"/>
        <v>　</v>
      </c>
      <c r="K109" t="str">
        <f t="shared" si="22"/>
        <v/>
      </c>
    </row>
    <row r="110" spans="1:11">
      <c r="A110" s="217">
        <f>'①設計シート（同時使用率３F）'!A112</f>
        <v>0</v>
      </c>
      <c r="B110" s="301">
        <f>'①設計シート（同時使用率３F）'!B112:C112</f>
        <v>0</v>
      </c>
      <c r="C110" s="302"/>
      <c r="D110" s="4"/>
      <c r="E110" s="4"/>
      <c r="F110" s="2" t="str">
        <f t="shared" si="18"/>
        <v/>
      </c>
      <c r="G110" s="2" t="str">
        <f t="shared" si="19"/>
        <v xml:space="preserve"> </v>
      </c>
      <c r="H110" s="218" t="str">
        <f>'①設計シート（同時使用率３F）'!H112</f>
        <v/>
      </c>
      <c r="I110" s="224" t="str">
        <f t="shared" si="20"/>
        <v>　</v>
      </c>
      <c r="J110" t="str">
        <f t="shared" si="21"/>
        <v>　</v>
      </c>
      <c r="K110" t="str">
        <f t="shared" si="22"/>
        <v/>
      </c>
    </row>
    <row r="111" spans="1:11">
      <c r="A111" s="217">
        <f>'①設計シート（同時使用率３F）'!A113</f>
        <v>0</v>
      </c>
      <c r="B111" s="301">
        <f>'①設計シート（同時使用率３F）'!B113:C113</f>
        <v>0</v>
      </c>
      <c r="C111" s="302"/>
      <c r="D111" s="4"/>
      <c r="E111" s="4"/>
      <c r="F111" s="2" t="str">
        <f t="shared" si="18"/>
        <v/>
      </c>
      <c r="G111" s="2" t="str">
        <f t="shared" si="19"/>
        <v xml:space="preserve"> </v>
      </c>
      <c r="H111" s="218" t="str">
        <f>'①設計シート（同時使用率３F）'!H113</f>
        <v/>
      </c>
      <c r="I111" s="224" t="str">
        <f t="shared" si="20"/>
        <v>　</v>
      </c>
      <c r="J111" t="str">
        <f t="shared" si="21"/>
        <v>　</v>
      </c>
      <c r="K111" t="str">
        <f t="shared" si="22"/>
        <v/>
      </c>
    </row>
    <row r="112" spans="1:11">
      <c r="A112" s="217">
        <f>'①設計シート（同時使用率３F）'!A114</f>
        <v>0</v>
      </c>
      <c r="B112" s="301">
        <f>'①設計シート（同時使用率３F）'!B114:C114</f>
        <v>0</v>
      </c>
      <c r="C112" s="302"/>
      <c r="D112" s="4"/>
      <c r="E112" s="4"/>
      <c r="F112" s="2" t="str">
        <f t="shared" si="18"/>
        <v/>
      </c>
      <c r="G112" s="2" t="str">
        <f t="shared" si="19"/>
        <v xml:space="preserve"> </v>
      </c>
      <c r="H112" s="218" t="str">
        <f>'①設計シート（同時使用率３F）'!H114</f>
        <v/>
      </c>
      <c r="I112" s="224" t="str">
        <f t="shared" si="20"/>
        <v>　</v>
      </c>
      <c r="J112" t="str">
        <f t="shared" si="21"/>
        <v>　</v>
      </c>
      <c r="K112" t="str">
        <f t="shared" si="22"/>
        <v/>
      </c>
    </row>
    <row r="113" spans="1:11">
      <c r="A113" s="217">
        <f>'①設計シート（同時使用率３F）'!A115</f>
        <v>0</v>
      </c>
      <c r="B113" s="301">
        <f>'①設計シート（同時使用率３F）'!B115:C115</f>
        <v>0</v>
      </c>
      <c r="C113" s="302"/>
      <c r="D113" s="4"/>
      <c r="E113" s="4"/>
      <c r="F113" s="2" t="str">
        <f t="shared" si="18"/>
        <v/>
      </c>
      <c r="G113" s="2" t="str">
        <f t="shared" si="19"/>
        <v xml:space="preserve"> </v>
      </c>
      <c r="H113" s="218" t="str">
        <f>'①設計シート（同時使用率３F）'!H115</f>
        <v/>
      </c>
      <c r="I113" s="224" t="str">
        <f t="shared" si="20"/>
        <v>　</v>
      </c>
      <c r="J113" t="str">
        <f t="shared" si="21"/>
        <v>　</v>
      </c>
      <c r="K113" t="str">
        <f t="shared" si="22"/>
        <v/>
      </c>
    </row>
    <row r="114" spans="1:11">
      <c r="A114" s="217">
        <f>'①設計シート（同時使用率３F）'!A116</f>
        <v>0</v>
      </c>
      <c r="B114" s="301">
        <f>'①設計シート（同時使用率３F）'!B116:C116</f>
        <v>0</v>
      </c>
      <c r="C114" s="302"/>
      <c r="D114" s="4"/>
      <c r="E114" s="4"/>
      <c r="F114" s="2" t="str">
        <f t="shared" si="18"/>
        <v/>
      </c>
      <c r="G114" s="2" t="str">
        <f t="shared" si="19"/>
        <v xml:space="preserve"> </v>
      </c>
      <c r="H114" s="218" t="str">
        <f>'①設計シート（同時使用率３F）'!H116</f>
        <v/>
      </c>
      <c r="I114" s="224" t="str">
        <f t="shared" si="20"/>
        <v>　</v>
      </c>
      <c r="J114" t="str">
        <f t="shared" si="21"/>
        <v>　</v>
      </c>
      <c r="K114" t="str">
        <f t="shared" si="22"/>
        <v/>
      </c>
    </row>
    <row r="115" spans="1:11">
      <c r="A115" s="217">
        <f>'①設計シート（同時使用率３F）'!A117</f>
        <v>0</v>
      </c>
      <c r="B115" s="301">
        <f>'①設計シート（同時使用率３F）'!B117:C117</f>
        <v>0</v>
      </c>
      <c r="C115" s="302"/>
      <c r="D115" s="4"/>
      <c r="E115" s="4"/>
      <c r="F115" s="2" t="str">
        <f t="shared" si="18"/>
        <v/>
      </c>
      <c r="G115" s="2" t="str">
        <f t="shared" si="19"/>
        <v xml:space="preserve"> </v>
      </c>
      <c r="H115" s="218" t="str">
        <f>'①設計シート（同時使用率３F）'!H117</f>
        <v/>
      </c>
      <c r="I115" s="224" t="str">
        <f t="shared" si="20"/>
        <v>　</v>
      </c>
      <c r="J115" t="str">
        <f t="shared" si="21"/>
        <v>　</v>
      </c>
      <c r="K115" t="str">
        <f t="shared" si="22"/>
        <v/>
      </c>
    </row>
    <row r="116" spans="1:11">
      <c r="A116" s="217">
        <f>'①設計シート（同時使用率３F）'!A118</f>
        <v>0</v>
      </c>
      <c r="B116" s="301">
        <f>'①設計シート（同時使用率３F）'!B118:C118</f>
        <v>0</v>
      </c>
      <c r="C116" s="302"/>
      <c r="D116" s="4"/>
      <c r="E116" s="4"/>
      <c r="F116" s="2" t="str">
        <f t="shared" si="18"/>
        <v/>
      </c>
      <c r="G116" s="2" t="str">
        <f t="shared" si="19"/>
        <v xml:space="preserve"> </v>
      </c>
      <c r="H116" s="218" t="str">
        <f>'①設計シート（同時使用率３F）'!H118</f>
        <v/>
      </c>
      <c r="I116" s="224" t="str">
        <f t="shared" si="20"/>
        <v>　</v>
      </c>
      <c r="J116" t="str">
        <f t="shared" si="21"/>
        <v>　</v>
      </c>
      <c r="K116" t="str">
        <f t="shared" si="22"/>
        <v/>
      </c>
    </row>
    <row r="117" spans="1:11">
      <c r="A117" s="217">
        <f>'①設計シート（同時使用率３F）'!A119</f>
        <v>0</v>
      </c>
      <c r="B117" s="301">
        <f>'①設計シート（同時使用率３F）'!B119:C119</f>
        <v>0</v>
      </c>
      <c r="C117" s="302"/>
      <c r="D117" s="4"/>
      <c r="E117" s="4"/>
      <c r="F117" s="2" t="str">
        <f t="shared" si="18"/>
        <v/>
      </c>
      <c r="G117" s="2" t="str">
        <f t="shared" si="19"/>
        <v xml:space="preserve"> </v>
      </c>
      <c r="H117" s="218" t="str">
        <f>'①設計シート（同時使用率３F）'!H119</f>
        <v/>
      </c>
      <c r="I117" s="224" t="str">
        <f t="shared" si="20"/>
        <v>　</v>
      </c>
      <c r="J117" t="str">
        <f t="shared" si="21"/>
        <v>　</v>
      </c>
      <c r="K117" t="str">
        <f t="shared" si="22"/>
        <v/>
      </c>
    </row>
    <row r="118" spans="1:11">
      <c r="A118" s="217">
        <f>'①設計シート（同時使用率３F）'!A120</f>
        <v>0</v>
      </c>
      <c r="B118" s="301">
        <f>'①設計シート（同時使用率３F）'!B120:C120</f>
        <v>0</v>
      </c>
      <c r="C118" s="302"/>
      <c r="D118" s="29"/>
      <c r="E118" s="28"/>
      <c r="F118" s="26" t="str">
        <f t="shared" si="18"/>
        <v/>
      </c>
      <c r="G118" s="26" t="str">
        <f t="shared" si="19"/>
        <v xml:space="preserve"> </v>
      </c>
      <c r="H118" s="218" t="str">
        <f>'①設計シート（同時使用率３F）'!H120</f>
        <v/>
      </c>
      <c r="I118" s="224" t="str">
        <f t="shared" si="20"/>
        <v>　</v>
      </c>
      <c r="J118" t="str">
        <f t="shared" si="21"/>
        <v>　</v>
      </c>
      <c r="K118" t="str">
        <f t="shared" si="22"/>
        <v/>
      </c>
    </row>
    <row r="119" spans="1:11">
      <c r="A119" s="217">
        <f>'①設計シート（同時使用率３F）'!A121</f>
        <v>0</v>
      </c>
      <c r="B119" s="301">
        <f>'①設計シート（同時使用率３F）'!B121:C121</f>
        <v>0</v>
      </c>
      <c r="C119" s="302"/>
      <c r="D119" s="4"/>
      <c r="E119" s="4"/>
      <c r="F119" s="2" t="str">
        <f t="shared" si="18"/>
        <v/>
      </c>
      <c r="G119" s="2" t="str">
        <f t="shared" si="19"/>
        <v xml:space="preserve"> </v>
      </c>
      <c r="H119" s="218" t="str">
        <f>'①設計シート（同時使用率３F）'!H121</f>
        <v/>
      </c>
      <c r="I119" s="224" t="str">
        <f t="shared" si="20"/>
        <v>　</v>
      </c>
      <c r="J119" t="str">
        <f t="shared" si="21"/>
        <v>　</v>
      </c>
      <c r="K119" t="str">
        <f t="shared" si="22"/>
        <v/>
      </c>
    </row>
    <row r="120" spans="1:11">
      <c r="A120" s="217">
        <f>'①設計シート（同時使用率３F）'!A122</f>
        <v>0</v>
      </c>
      <c r="B120" s="301">
        <f>'①設計シート（同時使用率３F）'!B122:C122</f>
        <v>0</v>
      </c>
      <c r="C120" s="302"/>
      <c r="D120" s="4"/>
      <c r="E120" s="4"/>
      <c r="F120" s="2" t="str">
        <f t="shared" si="18"/>
        <v/>
      </c>
      <c r="G120" s="2" t="str">
        <f t="shared" si="19"/>
        <v xml:space="preserve"> </v>
      </c>
      <c r="H120" s="218" t="str">
        <f>'①設計シート（同時使用率３F）'!H122</f>
        <v/>
      </c>
      <c r="I120" s="224" t="str">
        <f t="shared" si="20"/>
        <v>　</v>
      </c>
      <c r="J120" t="str">
        <f t="shared" si="21"/>
        <v>　</v>
      </c>
      <c r="K120" t="str">
        <f t="shared" si="22"/>
        <v/>
      </c>
    </row>
    <row r="121" spans="1:11">
      <c r="A121" s="217">
        <f>'①設計シート（同時使用率３F）'!A123</f>
        <v>0</v>
      </c>
      <c r="B121" s="301">
        <f>'①設計シート（同時使用率３F）'!B123:C123</f>
        <v>0</v>
      </c>
      <c r="C121" s="302"/>
      <c r="D121" s="42"/>
      <c r="E121" s="4"/>
      <c r="F121" s="2" t="str">
        <f t="shared" si="18"/>
        <v/>
      </c>
      <c r="G121" s="2" t="str">
        <f t="shared" si="19"/>
        <v xml:space="preserve"> </v>
      </c>
      <c r="H121" s="218" t="str">
        <f>'①設計シート（同時使用率３F）'!H123</f>
        <v/>
      </c>
      <c r="I121" s="224" t="str">
        <f t="shared" si="20"/>
        <v>　</v>
      </c>
      <c r="J121" t="str">
        <f t="shared" si="21"/>
        <v>　</v>
      </c>
      <c r="K121" t="str">
        <f t="shared" si="22"/>
        <v/>
      </c>
    </row>
    <row r="122" spans="1:11">
      <c r="A122" s="217">
        <f>'①設計シート（同時使用率３F）'!A124</f>
        <v>0</v>
      </c>
      <c r="B122" s="301">
        <f>'①設計シート（同時使用率３F）'!B124:C124</f>
        <v>0</v>
      </c>
      <c r="C122" s="302"/>
      <c r="D122" s="42"/>
      <c r="E122" s="4"/>
      <c r="F122" s="2" t="str">
        <f t="shared" si="18"/>
        <v/>
      </c>
      <c r="G122" s="2" t="str">
        <f t="shared" si="19"/>
        <v xml:space="preserve"> </v>
      </c>
      <c r="H122" s="218" t="str">
        <f>'①設計シート（同時使用率３F）'!H124</f>
        <v/>
      </c>
      <c r="I122" s="224" t="str">
        <f t="shared" si="20"/>
        <v>　</v>
      </c>
      <c r="J122" t="str">
        <f t="shared" si="21"/>
        <v>　</v>
      </c>
      <c r="K122" t="str">
        <f t="shared" si="22"/>
        <v/>
      </c>
    </row>
    <row r="123" spans="1:11">
      <c r="A123" s="217">
        <f>'①設計シート（同時使用率３F）'!A125</f>
        <v>0</v>
      </c>
      <c r="B123" s="301">
        <f>'①設計シート（同時使用率３F）'!B125:C125</f>
        <v>0</v>
      </c>
      <c r="C123" s="302"/>
      <c r="D123" s="42"/>
      <c r="E123" s="4"/>
      <c r="F123" s="2" t="str">
        <f t="shared" si="18"/>
        <v/>
      </c>
      <c r="G123" s="2" t="str">
        <f t="shared" si="19"/>
        <v xml:space="preserve"> </v>
      </c>
      <c r="H123" s="218" t="str">
        <f>'①設計シート（同時使用率３F）'!H125</f>
        <v/>
      </c>
      <c r="I123" s="224" t="str">
        <f t="shared" si="20"/>
        <v>　</v>
      </c>
      <c r="J123" t="str">
        <f t="shared" si="21"/>
        <v>　</v>
      </c>
      <c r="K123" t="str">
        <f t="shared" si="22"/>
        <v/>
      </c>
    </row>
    <row r="124" spans="1:11">
      <c r="A124" s="217">
        <f>'①設計シート（同時使用率３F）'!A126</f>
        <v>0</v>
      </c>
      <c r="B124" s="301">
        <f>'①設計シート（同時使用率３F）'!B126:C126</f>
        <v>0</v>
      </c>
      <c r="C124" s="302"/>
      <c r="D124" s="42"/>
      <c r="E124" s="4"/>
      <c r="F124" s="2" t="str">
        <f t="shared" si="18"/>
        <v/>
      </c>
      <c r="G124" s="2" t="str">
        <f t="shared" si="19"/>
        <v xml:space="preserve"> </v>
      </c>
      <c r="H124" s="218" t="str">
        <f>'①設計シート（同時使用率３F）'!H126</f>
        <v/>
      </c>
      <c r="I124" s="224" t="str">
        <f t="shared" si="20"/>
        <v>　</v>
      </c>
      <c r="J124" t="str">
        <f t="shared" si="21"/>
        <v>　</v>
      </c>
      <c r="K124" t="str">
        <f t="shared" si="22"/>
        <v/>
      </c>
    </row>
    <row r="125" spans="1:11">
      <c r="A125" s="217">
        <f>'①設計シート（同時使用率３F）'!A127</f>
        <v>0</v>
      </c>
      <c r="B125" s="301">
        <f>'①設計シート（同時使用率３F）'!B127:C127</f>
        <v>0</v>
      </c>
      <c r="C125" s="302"/>
      <c r="D125" s="42"/>
      <c r="E125" s="4"/>
      <c r="F125" s="2" t="str">
        <f t="shared" si="18"/>
        <v/>
      </c>
      <c r="G125" s="2" t="str">
        <f t="shared" si="19"/>
        <v xml:space="preserve"> </v>
      </c>
      <c r="H125" s="218" t="str">
        <f>'①設計シート（同時使用率３F）'!H127</f>
        <v/>
      </c>
      <c r="I125" s="224" t="str">
        <f t="shared" si="20"/>
        <v>　</v>
      </c>
      <c r="J125" t="str">
        <f t="shared" si="21"/>
        <v>　</v>
      </c>
      <c r="K125" t="str">
        <f t="shared" si="22"/>
        <v/>
      </c>
    </row>
    <row r="126" spans="1:11">
      <c r="A126" s="217">
        <f>'①設計シート（同時使用率３F）'!A128</f>
        <v>0</v>
      </c>
      <c r="B126" s="301">
        <f>'①設計シート（同時使用率３F）'!B128:C128</f>
        <v>0</v>
      </c>
      <c r="C126" s="302"/>
      <c r="D126" s="42"/>
      <c r="E126" s="4"/>
      <c r="F126" s="2" t="str">
        <f t="shared" si="18"/>
        <v/>
      </c>
      <c r="G126" s="2" t="str">
        <f t="shared" si="19"/>
        <v xml:space="preserve"> </v>
      </c>
      <c r="H126" s="218" t="str">
        <f>'①設計シート（同時使用率３F）'!H128</f>
        <v/>
      </c>
      <c r="I126" s="224" t="str">
        <f t="shared" si="20"/>
        <v>　</v>
      </c>
      <c r="J126" t="str">
        <f t="shared" si="21"/>
        <v>　</v>
      </c>
      <c r="K126" t="str">
        <f t="shared" si="22"/>
        <v/>
      </c>
    </row>
    <row r="127" spans="1:11">
      <c r="A127" s="217">
        <f>'①設計シート（同時使用率３F）'!A129</f>
        <v>0</v>
      </c>
      <c r="B127" s="301">
        <f>'①設計シート（同時使用率３F）'!B129:C129</f>
        <v>0</v>
      </c>
      <c r="C127" s="302"/>
      <c r="D127" s="42"/>
      <c r="E127" s="4"/>
      <c r="F127" s="2" t="str">
        <f t="shared" si="18"/>
        <v/>
      </c>
      <c r="G127" s="2" t="str">
        <f t="shared" si="19"/>
        <v xml:space="preserve"> </v>
      </c>
      <c r="H127" s="59" t="str">
        <f>'①設計シート（同時使用率３F）'!H129</f>
        <v/>
      </c>
      <c r="I127" s="225" t="str">
        <f t="shared" si="20"/>
        <v>　</v>
      </c>
      <c r="J127" t="str">
        <f t="shared" si="21"/>
        <v>　</v>
      </c>
      <c r="K127" t="str">
        <f t="shared" si="22"/>
        <v/>
      </c>
    </row>
    <row r="128" spans="1:11">
      <c r="A128" s="67"/>
      <c r="B128" s="2" t="s">
        <v>86</v>
      </c>
      <c r="C128" s="2"/>
      <c r="D128" s="218">
        <f>'①設計シート（同時使用率３F）'!D130</f>
        <v>0</v>
      </c>
      <c r="E128" s="30"/>
      <c r="F128" s="30" t="str">
        <f t="shared" si="18"/>
        <v/>
      </c>
      <c r="G128" s="30"/>
      <c r="H128" s="243" t="str">
        <f>'①設計シート（同時使用率３F）'!H130</f>
        <v/>
      </c>
      <c r="I128" s="224" t="str">
        <f>IF(D128&gt;0,1,"")</f>
        <v/>
      </c>
    </row>
    <row r="129" spans="1:11">
      <c r="A129" s="67"/>
      <c r="B129" s="2" t="s">
        <v>76</v>
      </c>
      <c r="C129" s="2"/>
      <c r="D129" s="3"/>
      <c r="E129" s="2"/>
      <c r="F129" s="2"/>
      <c r="G129" s="50"/>
      <c r="H129" s="205"/>
      <c r="I129" s="114">
        <f>'①設計シート（同時使用率３F）'!I131</f>
        <v>0</v>
      </c>
      <c r="J129" s="18" t="str">
        <f>IF(I129&gt;10,"エラー　制限高超え","")</f>
        <v/>
      </c>
    </row>
    <row r="130" spans="1:11">
      <c r="A130" s="67"/>
      <c r="B130" s="14" t="s">
        <v>186</v>
      </c>
      <c r="C130" s="16"/>
      <c r="D130" s="15"/>
      <c r="E130" s="16"/>
      <c r="F130" s="16"/>
      <c r="G130" s="16"/>
      <c r="H130" s="17"/>
      <c r="I130" s="114">
        <f>'①設計シート（同時使用率３F）'!I132</f>
        <v>0</v>
      </c>
      <c r="J130" s="8"/>
      <c r="K130" s="8"/>
    </row>
    <row r="131" spans="1:11" ht="14.25" thickBot="1">
      <c r="A131" s="72"/>
      <c r="B131" s="135" t="s">
        <v>125</v>
      </c>
      <c r="C131" s="136"/>
      <c r="D131" s="136"/>
      <c r="E131" s="136"/>
      <c r="F131" s="136"/>
      <c r="G131" s="136"/>
      <c r="H131" s="137"/>
      <c r="I131" s="116" t="str">
        <f>IF(SUM(I107:I130),SUM(I107:I130)," ")</f>
        <v xml:space="preserve"> </v>
      </c>
    </row>
    <row r="133" spans="1:11">
      <c r="A133" t="s">
        <v>195</v>
      </c>
      <c r="C133" s="59" t="str">
        <f>I58</f>
        <v xml:space="preserve"> </v>
      </c>
      <c r="D133" s="8" t="s">
        <v>174</v>
      </c>
      <c r="F133" t="s">
        <v>197</v>
      </c>
      <c r="H133" s="59" t="str">
        <f>I102</f>
        <v xml:space="preserve"> </v>
      </c>
      <c r="I133" s="8" t="s">
        <v>174</v>
      </c>
    </row>
    <row r="134" spans="1:11">
      <c r="A134" s="145" t="s">
        <v>196</v>
      </c>
      <c r="C134" s="59" t="str">
        <f>I87</f>
        <v xml:space="preserve"> </v>
      </c>
      <c r="D134" s="8" t="s">
        <v>174</v>
      </c>
      <c r="F134" s="145" t="s">
        <v>198</v>
      </c>
      <c r="H134" s="59" t="str">
        <f>I131</f>
        <v xml:space="preserve"> </v>
      </c>
      <c r="I134" s="8" t="s">
        <v>174</v>
      </c>
    </row>
    <row r="135" spans="1:11">
      <c r="A135" s="177" t="s">
        <v>199</v>
      </c>
      <c r="C135" s="59" t="str">
        <f>IFERROR(C133+C134,"")</f>
        <v/>
      </c>
      <c r="D135" s="8" t="s">
        <v>201</v>
      </c>
      <c r="F135" s="177" t="s">
        <v>200</v>
      </c>
      <c r="H135" s="59" t="str">
        <f>IFERROR(H133+H134,"")</f>
        <v/>
      </c>
      <c r="I135" s="8" t="s">
        <v>202</v>
      </c>
    </row>
    <row r="136" spans="1:11">
      <c r="A136" s="145"/>
      <c r="C136" s="15"/>
      <c r="D136" s="8"/>
      <c r="F136" s="145"/>
      <c r="H136" s="10"/>
      <c r="I136" s="8"/>
    </row>
    <row r="137" spans="1:11">
      <c r="A137" t="s">
        <v>69</v>
      </c>
      <c r="C137" s="59">
        <f>IFERROR((MAX(C135,H135)),"")</f>
        <v>0</v>
      </c>
      <c r="D137" t="s">
        <v>72</v>
      </c>
    </row>
    <row r="138" spans="1:11">
      <c r="A138" t="s">
        <v>73</v>
      </c>
      <c r="C138" s="59">
        <f>IFERROR(ROUND(C137*0.0098,3),"")</f>
        <v>0</v>
      </c>
      <c r="D138" t="s">
        <v>74</v>
      </c>
      <c r="J138" s="8"/>
    </row>
    <row r="139" spans="1:11">
      <c r="B139" s="8"/>
      <c r="C139" s="16"/>
      <c r="D139" s="8"/>
      <c r="J139" s="8"/>
    </row>
    <row r="140" spans="1:11" ht="20.100000000000001" customHeight="1">
      <c r="A140" s="282" t="s">
        <v>70</v>
      </c>
      <c r="B140" s="283"/>
      <c r="C140" s="168" t="str">
        <f>IF(C138="","",IF(B32&gt;C138,"ＯＫ","ＮＧ"))</f>
        <v>ＮＧ</v>
      </c>
      <c r="D140" s="169" t="s">
        <v>71</v>
      </c>
      <c r="E140" s="173" t="str">
        <f>IF(C140="","",IF(C140="ＯＫ","設定の管径とする","再設計が必要。"))</f>
        <v>再設計が必要。</v>
      </c>
      <c r="F140" s="61"/>
      <c r="G140" s="61"/>
      <c r="H140" s="61"/>
      <c r="I140" s="54"/>
    </row>
    <row r="141" spans="1:11" ht="20.100000000000001" customHeight="1">
      <c r="A141" s="63"/>
      <c r="B141" s="170" t="s">
        <v>78</v>
      </c>
      <c r="C141" s="171">
        <f>MAX(F47:F128)</f>
        <v>0</v>
      </c>
      <c r="D141" s="169" t="s">
        <v>173</v>
      </c>
      <c r="E141" s="172" t="str">
        <f>IF(C141=0,"",IF(C141&gt;2,"ウォータハンマが発生する可能性があります。","問題なし"))</f>
        <v/>
      </c>
      <c r="F141" s="46"/>
      <c r="G141" s="46"/>
      <c r="H141" s="46"/>
      <c r="I141" s="46"/>
    </row>
    <row r="145" spans="10:10">
      <c r="J145" s="45"/>
    </row>
    <row r="146" spans="10:10">
      <c r="J146" s="45"/>
    </row>
    <row r="148" spans="10:10">
      <c r="J148" s="46"/>
    </row>
  </sheetData>
  <sheetProtection formatCells="0" selectLockedCells="1" selectUnlockedCells="1"/>
  <mergeCells count="93">
    <mergeCell ref="B125:C125"/>
    <mergeCell ref="B126:C126"/>
    <mergeCell ref="B127:C127"/>
    <mergeCell ref="A140:B140"/>
    <mergeCell ref="B119:C119"/>
    <mergeCell ref="B120:C120"/>
    <mergeCell ref="B121:C121"/>
    <mergeCell ref="B122:C122"/>
    <mergeCell ref="B123:C123"/>
    <mergeCell ref="B124:C124"/>
    <mergeCell ref="A102:H102"/>
    <mergeCell ref="B118:C118"/>
    <mergeCell ref="B107:C107"/>
    <mergeCell ref="B108:C108"/>
    <mergeCell ref="B109:C109"/>
    <mergeCell ref="B110:C110"/>
    <mergeCell ref="B111:C111"/>
    <mergeCell ref="B112:C112"/>
    <mergeCell ref="B113:C113"/>
    <mergeCell ref="B114:C114"/>
    <mergeCell ref="B115:C115"/>
    <mergeCell ref="B116:C116"/>
    <mergeCell ref="B117:C117"/>
    <mergeCell ref="A89:A90"/>
    <mergeCell ref="B89:C90"/>
    <mergeCell ref="J89:J90"/>
    <mergeCell ref="K89:K90"/>
    <mergeCell ref="A105:A106"/>
    <mergeCell ref="B105:C106"/>
    <mergeCell ref="B92:C92"/>
    <mergeCell ref="B93:C93"/>
    <mergeCell ref="B94:C94"/>
    <mergeCell ref="B95:C95"/>
    <mergeCell ref="B96:C96"/>
    <mergeCell ref="B97:C97"/>
    <mergeCell ref="B98:C98"/>
    <mergeCell ref="B99:C99"/>
    <mergeCell ref="B100:C100"/>
    <mergeCell ref="B101:C101"/>
    <mergeCell ref="B91:C91"/>
    <mergeCell ref="B77:C77"/>
    <mergeCell ref="B78:C78"/>
    <mergeCell ref="B79:C79"/>
    <mergeCell ref="B80:C80"/>
    <mergeCell ref="B81:C81"/>
    <mergeCell ref="B82:C82"/>
    <mergeCell ref="B83:C83"/>
    <mergeCell ref="B76:C76"/>
    <mergeCell ref="B65:C65"/>
    <mergeCell ref="B66:C66"/>
    <mergeCell ref="B67:C67"/>
    <mergeCell ref="B68:C68"/>
    <mergeCell ref="B69:C69"/>
    <mergeCell ref="B70:C70"/>
    <mergeCell ref="B71:C71"/>
    <mergeCell ref="B72:C72"/>
    <mergeCell ref="B73:C73"/>
    <mergeCell ref="B74:C74"/>
    <mergeCell ref="B75:C75"/>
    <mergeCell ref="B64:C64"/>
    <mergeCell ref="B51:C51"/>
    <mergeCell ref="B52:C52"/>
    <mergeCell ref="B53:C53"/>
    <mergeCell ref="B54:C54"/>
    <mergeCell ref="B55:C55"/>
    <mergeCell ref="B56:C56"/>
    <mergeCell ref="B57:C57"/>
    <mergeCell ref="A58:H58"/>
    <mergeCell ref="A61:A62"/>
    <mergeCell ref="B61:C62"/>
    <mergeCell ref="B63:C63"/>
    <mergeCell ref="J45:J46"/>
    <mergeCell ref="K45:K46"/>
    <mergeCell ref="B47:C47"/>
    <mergeCell ref="B48:C48"/>
    <mergeCell ref="B49:C49"/>
    <mergeCell ref="B50:C50"/>
    <mergeCell ref="D36:G36"/>
    <mergeCell ref="D37:E37"/>
    <mergeCell ref="D38:E38"/>
    <mergeCell ref="D42:E42"/>
    <mergeCell ref="A45:A46"/>
    <mergeCell ref="B45:C46"/>
    <mergeCell ref="E2:F2"/>
    <mergeCell ref="G2:I2"/>
    <mergeCell ref="E3:F3"/>
    <mergeCell ref="G3:I3"/>
    <mergeCell ref="A8:A9"/>
    <mergeCell ref="F8:F9"/>
    <mergeCell ref="F29:F30"/>
    <mergeCell ref="G29:G30"/>
    <mergeCell ref="H29:H30"/>
    <mergeCell ref="D29:E29"/>
  </mergeCells>
  <phoneticPr fontId="1"/>
  <conditionalFormatting sqref="G10:G25">
    <cfRule type="colorScale" priority="1">
      <colorScale>
        <cfvo type="min"/>
        <cfvo type="max"/>
        <color theme="0"/>
        <color theme="0"/>
      </colorScale>
    </cfRule>
    <cfRule type="colorScale" priority="2">
      <colorScale>
        <cfvo type="min"/>
        <cfvo type="max"/>
        <color theme="0"/>
        <color theme="0"/>
      </colorScale>
    </cfRule>
    <cfRule type="expression" dxfId="1" priority="3">
      <formula>$C10&gt;0</formula>
    </cfRule>
  </conditionalFormatting>
  <dataValidations count="1">
    <dataValidation type="list" allowBlank="1" showInputMessage="1" showErrorMessage="1" sqref="A63:A83 A107:A127">
      <formula1>$A$47:$A$57</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&amp;R&amp;"-,斜体"&amp;8②戸数から同時使用水量を算定（3F）</oddHeader>
  </headerFooter>
  <rowBreaks count="2" manualBreakCount="2">
    <brk id="43" max="8" man="1"/>
    <brk id="87" max="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表!$E$5:$E$12</xm:f>
          </x14:formula1>
          <xm:sqref>D47:D57 D91:D101</xm:sqref>
        </x14:dataValidation>
        <x14:dataValidation type="list" allowBlank="1" showInputMessage="1" showErrorMessage="1">
          <x14:formula1>
            <xm:f>表!$F$5:$F$11</xm:f>
          </x14:formula1>
          <xm:sqref>D63:D83 D107:D127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L150"/>
  <sheetViews>
    <sheetView showZeros="0" view="pageBreakPreview" topLeftCell="A7" zoomScaleNormal="100" zoomScaleSheetLayoutView="100" workbookViewId="0">
      <selection activeCell="D33" sqref="D33"/>
    </sheetView>
  </sheetViews>
  <sheetFormatPr defaultRowHeight="13.5"/>
  <cols>
    <col min="1" max="1" width="15.875" customWidth="1"/>
    <col min="2" max="5" width="8.625" customWidth="1"/>
    <col min="6" max="6" width="15.875" customWidth="1"/>
    <col min="7" max="9" width="8.625" customWidth="1"/>
    <col min="10" max="12" width="9" hidden="1" customWidth="1"/>
  </cols>
  <sheetData>
    <row r="1" spans="1:10" ht="20.25" customHeight="1">
      <c r="A1" t="s">
        <v>129</v>
      </c>
    </row>
    <row r="2" spans="1:10" ht="18" customHeight="1" thickBot="1">
      <c r="A2" s="1" t="s">
        <v>131</v>
      </c>
      <c r="E2" s="277" t="s">
        <v>127</v>
      </c>
      <c r="F2" s="277"/>
      <c r="G2" s="292">
        <f>'①設計シート（同時使用率３F）'!G2:I2</f>
        <v>0</v>
      </c>
      <c r="H2" s="292"/>
      <c r="I2" s="292"/>
      <c r="J2" s="5"/>
    </row>
    <row r="3" spans="1:10" ht="18.75" customHeight="1" thickBot="1">
      <c r="A3" s="1" t="s">
        <v>130</v>
      </c>
      <c r="E3" s="279" t="s">
        <v>128</v>
      </c>
      <c r="F3" s="280"/>
      <c r="G3" s="293">
        <f>'①設計シート（同時使用率３F）'!G3:I3</f>
        <v>0</v>
      </c>
      <c r="H3" s="293"/>
      <c r="I3" s="293"/>
      <c r="J3" s="5"/>
    </row>
    <row r="5" spans="1:10">
      <c r="A5" s="196" t="s">
        <v>248</v>
      </c>
    </row>
    <row r="6" spans="1:10" ht="14.25">
      <c r="A6" s="127" t="s">
        <v>179</v>
      </c>
      <c r="B6" s="197" t="s">
        <v>256</v>
      </c>
      <c r="D6" s="48"/>
      <c r="F6" s="127" t="s">
        <v>180</v>
      </c>
      <c r="H6" s="197" t="s">
        <v>257</v>
      </c>
    </row>
    <row r="7" spans="1:10" ht="14.25" thickBot="1">
      <c r="D7" s="48"/>
      <c r="F7" s="139" t="s">
        <v>163</v>
      </c>
      <c r="G7" s="161" t="str">
        <f>IFERROR(VLOOKUP(B26,表!B4:C33,2,FALSE),"")</f>
        <v/>
      </c>
      <c r="H7" s="140" t="s">
        <v>167</v>
      </c>
    </row>
    <row r="8" spans="1:10">
      <c r="A8" s="270" t="s">
        <v>0</v>
      </c>
      <c r="B8" s="74" t="s">
        <v>15</v>
      </c>
      <c r="C8" s="65" t="s">
        <v>1</v>
      </c>
      <c r="D8" s="66" t="s">
        <v>17</v>
      </c>
      <c r="F8" s="270" t="s">
        <v>0</v>
      </c>
      <c r="G8" s="78" t="s">
        <v>15</v>
      </c>
      <c r="H8" s="65" t="s">
        <v>1</v>
      </c>
      <c r="I8" s="66" t="s">
        <v>17</v>
      </c>
      <c r="J8" s="149"/>
    </row>
    <row r="9" spans="1:10" ht="14.25" thickBot="1">
      <c r="A9" s="271"/>
      <c r="B9" s="82" t="s">
        <v>79</v>
      </c>
      <c r="C9" s="83" t="s">
        <v>80</v>
      </c>
      <c r="D9" s="84" t="s">
        <v>80</v>
      </c>
      <c r="F9" s="271"/>
      <c r="G9" s="87" t="s">
        <v>79</v>
      </c>
      <c r="H9" s="83" t="s">
        <v>80</v>
      </c>
      <c r="I9" s="84" t="s">
        <v>80</v>
      </c>
      <c r="J9" s="149"/>
    </row>
    <row r="10" spans="1:10">
      <c r="A10" s="227" t="s">
        <v>2</v>
      </c>
      <c r="B10" s="210">
        <f>'①設計シート（同時使用率３F）'!B10</f>
        <v>0</v>
      </c>
      <c r="C10" s="210">
        <f>'①設計シート（同時使用率３F）'!C10</f>
        <v>0</v>
      </c>
      <c r="D10" s="211">
        <f t="shared" ref="D10:D25" si="0">B10*C10</f>
        <v>0</v>
      </c>
      <c r="E10" s="144">
        <f t="shared" ref="E10:E25" si="1">IF(AND(B10=0,C10=0),0,IF(B10*C10=0,"←入力不備",""))</f>
        <v>0</v>
      </c>
      <c r="F10" s="162" t="s">
        <v>2</v>
      </c>
      <c r="G10" s="85">
        <f>'①設計シート（同時使用率３F）'!G10</f>
        <v>0</v>
      </c>
      <c r="H10" s="86" t="str">
        <f t="shared" ref="H10:H25" si="2">IF(C10=0,"",C10)</f>
        <v/>
      </c>
      <c r="I10" s="81" t="str">
        <f t="shared" ref="I10:I25" si="3">IFERROR(G10*H10,"")</f>
        <v/>
      </c>
      <c r="J10" s="10"/>
    </row>
    <row r="11" spans="1:10">
      <c r="A11" s="163" t="s">
        <v>3</v>
      </c>
      <c r="B11" s="208">
        <f>'①設計シート（同時使用率３F）'!B11</f>
        <v>0</v>
      </c>
      <c r="C11" s="208">
        <f>'①設計シート（同時使用率３F）'!C11</f>
        <v>0</v>
      </c>
      <c r="D11" s="68">
        <f t="shared" si="0"/>
        <v>0</v>
      </c>
      <c r="E11" s="144">
        <f t="shared" si="1"/>
        <v>0</v>
      </c>
      <c r="F11" s="163" t="s">
        <v>3</v>
      </c>
      <c r="G11" s="85">
        <f>'①設計シート（同時使用率３F）'!G11</f>
        <v>0</v>
      </c>
      <c r="H11" s="13" t="str">
        <f t="shared" si="2"/>
        <v/>
      </c>
      <c r="I11" s="68" t="str">
        <f t="shared" si="3"/>
        <v/>
      </c>
      <c r="J11" s="10"/>
    </row>
    <row r="12" spans="1:10">
      <c r="A12" s="163" t="s">
        <v>18</v>
      </c>
      <c r="B12" s="208">
        <f>'①設計シート（同時使用率３F）'!B12</f>
        <v>0</v>
      </c>
      <c r="C12" s="208">
        <f>'①設計シート（同時使用率３F）'!C12</f>
        <v>0</v>
      </c>
      <c r="D12" s="68">
        <f t="shared" si="0"/>
        <v>0</v>
      </c>
      <c r="E12" s="144">
        <f t="shared" si="1"/>
        <v>0</v>
      </c>
      <c r="F12" s="163" t="s">
        <v>18</v>
      </c>
      <c r="G12" s="85">
        <f>'①設計シート（同時使用率３F）'!G12</f>
        <v>0</v>
      </c>
      <c r="H12" s="13" t="str">
        <f t="shared" si="2"/>
        <v/>
      </c>
      <c r="I12" s="68" t="str">
        <f t="shared" si="3"/>
        <v/>
      </c>
      <c r="J12" s="10"/>
    </row>
    <row r="13" spans="1:10">
      <c r="A13" s="163" t="s">
        <v>4</v>
      </c>
      <c r="B13" s="208">
        <f>'①設計シート（同時使用率３F）'!B13</f>
        <v>0</v>
      </c>
      <c r="C13" s="208">
        <f>'①設計シート（同時使用率３F）'!C13</f>
        <v>0</v>
      </c>
      <c r="D13" s="68">
        <f t="shared" si="0"/>
        <v>0</v>
      </c>
      <c r="E13" s="144">
        <f t="shared" si="1"/>
        <v>0</v>
      </c>
      <c r="F13" s="163" t="s">
        <v>4</v>
      </c>
      <c r="G13" s="85">
        <f>'①設計シート（同時使用率３F）'!G13</f>
        <v>0</v>
      </c>
      <c r="H13" s="13" t="str">
        <f t="shared" si="2"/>
        <v/>
      </c>
      <c r="I13" s="68" t="str">
        <f t="shared" si="3"/>
        <v/>
      </c>
      <c r="J13" s="10"/>
    </row>
    <row r="14" spans="1:10">
      <c r="A14" s="163" t="s">
        <v>5</v>
      </c>
      <c r="B14" s="208">
        <f>'①設計シート（同時使用率３F）'!B14</f>
        <v>0</v>
      </c>
      <c r="C14" s="208">
        <f>'①設計シート（同時使用率３F）'!C14</f>
        <v>0</v>
      </c>
      <c r="D14" s="68">
        <f t="shared" si="0"/>
        <v>0</v>
      </c>
      <c r="E14" s="144">
        <f t="shared" si="1"/>
        <v>0</v>
      </c>
      <c r="F14" s="163" t="s">
        <v>5</v>
      </c>
      <c r="G14" s="85">
        <f>'①設計シート（同時使用率３F）'!G14</f>
        <v>0</v>
      </c>
      <c r="H14" s="13" t="str">
        <f t="shared" si="2"/>
        <v/>
      </c>
      <c r="I14" s="68" t="str">
        <f t="shared" si="3"/>
        <v/>
      </c>
      <c r="J14" s="10"/>
    </row>
    <row r="15" spans="1:10">
      <c r="A15" s="163" t="s">
        <v>6</v>
      </c>
      <c r="B15" s="208">
        <f>'①設計シート（同時使用率３F）'!B15</f>
        <v>0</v>
      </c>
      <c r="C15" s="208">
        <f>'①設計シート（同時使用率３F）'!C15</f>
        <v>0</v>
      </c>
      <c r="D15" s="68">
        <f t="shared" si="0"/>
        <v>0</v>
      </c>
      <c r="E15" s="144">
        <f t="shared" si="1"/>
        <v>0</v>
      </c>
      <c r="F15" s="163" t="s">
        <v>6</v>
      </c>
      <c r="G15" s="85">
        <f>'①設計シート（同時使用率３F）'!G15</f>
        <v>0</v>
      </c>
      <c r="H15" s="13" t="str">
        <f t="shared" si="2"/>
        <v/>
      </c>
      <c r="I15" s="68" t="str">
        <f t="shared" si="3"/>
        <v/>
      </c>
      <c r="J15" s="10"/>
    </row>
    <row r="16" spans="1:10">
      <c r="A16" s="163" t="s">
        <v>7</v>
      </c>
      <c r="B16" s="208">
        <f>'①設計シート（同時使用率３F）'!B16</f>
        <v>0</v>
      </c>
      <c r="C16" s="208">
        <f>'①設計シート（同時使用率３F）'!C16</f>
        <v>0</v>
      </c>
      <c r="D16" s="68">
        <f>B16*C16</f>
        <v>0</v>
      </c>
      <c r="E16" s="144">
        <f t="shared" si="1"/>
        <v>0</v>
      </c>
      <c r="F16" s="163" t="s">
        <v>7</v>
      </c>
      <c r="G16" s="85">
        <f>'①設計シート（同時使用率３F）'!G16</f>
        <v>0</v>
      </c>
      <c r="H16" s="13" t="str">
        <f t="shared" si="2"/>
        <v/>
      </c>
      <c r="I16" s="68" t="str">
        <f t="shared" si="3"/>
        <v/>
      </c>
      <c r="J16" s="10"/>
    </row>
    <row r="17" spans="1:12">
      <c r="A17" s="163" t="s">
        <v>8</v>
      </c>
      <c r="B17" s="208">
        <f>'①設計シート（同時使用率３F）'!B17</f>
        <v>0</v>
      </c>
      <c r="C17" s="208">
        <f>'①設計シート（同時使用率３F）'!C17</f>
        <v>0</v>
      </c>
      <c r="D17" s="68">
        <f t="shared" si="0"/>
        <v>0</v>
      </c>
      <c r="E17" s="144">
        <f t="shared" si="1"/>
        <v>0</v>
      </c>
      <c r="F17" s="163" t="s">
        <v>8</v>
      </c>
      <c r="G17" s="85">
        <f>'①設計シート（同時使用率３F）'!G17</f>
        <v>0</v>
      </c>
      <c r="H17" s="13" t="str">
        <f t="shared" si="2"/>
        <v/>
      </c>
      <c r="I17" s="68" t="str">
        <f t="shared" si="3"/>
        <v/>
      </c>
      <c r="J17" s="10"/>
    </row>
    <row r="18" spans="1:12">
      <c r="A18" s="163" t="s">
        <v>9</v>
      </c>
      <c r="B18" s="208">
        <f>'①設計シート（同時使用率３F）'!B18</f>
        <v>0</v>
      </c>
      <c r="C18" s="208">
        <f>'①設計シート（同時使用率３F）'!C18</f>
        <v>0</v>
      </c>
      <c r="D18" s="68">
        <f t="shared" si="0"/>
        <v>0</v>
      </c>
      <c r="E18" s="144">
        <f t="shared" si="1"/>
        <v>0</v>
      </c>
      <c r="F18" s="163" t="s">
        <v>9</v>
      </c>
      <c r="G18" s="85">
        <f>'①設計シート（同時使用率３F）'!G18</f>
        <v>0</v>
      </c>
      <c r="H18" s="13" t="str">
        <f t="shared" si="2"/>
        <v/>
      </c>
      <c r="I18" s="68" t="str">
        <f t="shared" si="3"/>
        <v/>
      </c>
      <c r="J18" s="10"/>
    </row>
    <row r="19" spans="1:12">
      <c r="A19" s="163" t="s">
        <v>10</v>
      </c>
      <c r="B19" s="208">
        <f>'①設計シート（同時使用率３F）'!B19</f>
        <v>0</v>
      </c>
      <c r="C19" s="208">
        <f>'①設計シート（同時使用率３F）'!C19</f>
        <v>0</v>
      </c>
      <c r="D19" s="68">
        <f t="shared" si="0"/>
        <v>0</v>
      </c>
      <c r="E19" s="144">
        <f t="shared" si="1"/>
        <v>0</v>
      </c>
      <c r="F19" s="163" t="s">
        <v>10</v>
      </c>
      <c r="G19" s="85">
        <f>'①設計シート（同時使用率３F）'!G19</f>
        <v>0</v>
      </c>
      <c r="H19" s="13" t="str">
        <f t="shared" si="2"/>
        <v/>
      </c>
      <c r="I19" s="68" t="str">
        <f t="shared" si="3"/>
        <v/>
      </c>
      <c r="J19" s="10"/>
    </row>
    <row r="20" spans="1:12">
      <c r="A20" s="163" t="s">
        <v>11</v>
      </c>
      <c r="B20" s="208">
        <f>'①設計シート（同時使用率３F）'!B20</f>
        <v>0</v>
      </c>
      <c r="C20" s="208">
        <f>'①設計シート（同時使用率３F）'!C20</f>
        <v>0</v>
      </c>
      <c r="D20" s="68">
        <f t="shared" si="0"/>
        <v>0</v>
      </c>
      <c r="E20" s="144">
        <f t="shared" si="1"/>
        <v>0</v>
      </c>
      <c r="F20" s="163" t="s">
        <v>11</v>
      </c>
      <c r="G20" s="85">
        <f>'①設計シート（同時使用率３F）'!G20</f>
        <v>0</v>
      </c>
      <c r="H20" s="13" t="str">
        <f t="shared" si="2"/>
        <v/>
      </c>
      <c r="I20" s="68" t="str">
        <f t="shared" si="3"/>
        <v/>
      </c>
      <c r="J20" s="10"/>
    </row>
    <row r="21" spans="1:12">
      <c r="A21" s="163" t="s">
        <v>12</v>
      </c>
      <c r="B21" s="208">
        <f>'①設計シート（同時使用率３F）'!B21</f>
        <v>0</v>
      </c>
      <c r="C21" s="208">
        <f>'①設計シート（同時使用率３F）'!C21</f>
        <v>0</v>
      </c>
      <c r="D21" s="68">
        <f t="shared" si="0"/>
        <v>0</v>
      </c>
      <c r="E21" s="144">
        <f t="shared" si="1"/>
        <v>0</v>
      </c>
      <c r="F21" s="163" t="s">
        <v>12</v>
      </c>
      <c r="G21" s="85">
        <f>'①設計シート（同時使用率３F）'!G21</f>
        <v>0</v>
      </c>
      <c r="H21" s="13" t="str">
        <f t="shared" si="2"/>
        <v/>
      </c>
      <c r="I21" s="68" t="str">
        <f t="shared" si="3"/>
        <v/>
      </c>
      <c r="J21" s="10"/>
    </row>
    <row r="22" spans="1:12">
      <c r="A22" s="163" t="s">
        <v>13</v>
      </c>
      <c r="B22" s="208">
        <f>'①設計シート（同時使用率３F）'!B22</f>
        <v>0</v>
      </c>
      <c r="C22" s="208">
        <f>'①設計シート（同時使用率３F）'!C22</f>
        <v>0</v>
      </c>
      <c r="D22" s="68">
        <f t="shared" si="0"/>
        <v>0</v>
      </c>
      <c r="E22" s="144">
        <f t="shared" si="1"/>
        <v>0</v>
      </c>
      <c r="F22" s="163" t="s">
        <v>13</v>
      </c>
      <c r="G22" s="85">
        <f>'①設計シート（同時使用率３F）'!G22</f>
        <v>0</v>
      </c>
      <c r="H22" s="13" t="str">
        <f t="shared" si="2"/>
        <v/>
      </c>
      <c r="I22" s="68" t="str">
        <f t="shared" si="3"/>
        <v/>
      </c>
      <c r="J22" s="10"/>
    </row>
    <row r="23" spans="1:12">
      <c r="A23" s="163" t="s">
        <v>14</v>
      </c>
      <c r="B23" s="208">
        <f>'①設計シート（同時使用率３F）'!B23</f>
        <v>0</v>
      </c>
      <c r="C23" s="208">
        <f>'①設計シート（同時使用率３F）'!C23</f>
        <v>0</v>
      </c>
      <c r="D23" s="68">
        <f t="shared" si="0"/>
        <v>0</v>
      </c>
      <c r="E23" s="144">
        <f t="shared" si="1"/>
        <v>0</v>
      </c>
      <c r="F23" s="163" t="s">
        <v>14</v>
      </c>
      <c r="G23" s="85">
        <f>'①設計シート（同時使用率３F）'!G23</f>
        <v>0</v>
      </c>
      <c r="H23" s="13" t="str">
        <f t="shared" si="2"/>
        <v/>
      </c>
      <c r="I23" s="68" t="str">
        <f t="shared" si="3"/>
        <v/>
      </c>
      <c r="J23" s="10"/>
    </row>
    <row r="24" spans="1:12">
      <c r="A24" s="163"/>
      <c r="B24" s="208">
        <f>'①設計シート（同時使用率３F）'!B24</f>
        <v>0</v>
      </c>
      <c r="C24" s="208">
        <f>'①設計シート（同時使用率３F）'!C24</f>
        <v>0</v>
      </c>
      <c r="D24" s="68">
        <f t="shared" si="0"/>
        <v>0</v>
      </c>
      <c r="E24" s="144">
        <f t="shared" si="1"/>
        <v>0</v>
      </c>
      <c r="F24" s="163"/>
      <c r="G24" s="85">
        <f>'①設計シート（同時使用率３F）'!G24</f>
        <v>0</v>
      </c>
      <c r="H24" s="13" t="str">
        <f t="shared" si="2"/>
        <v/>
      </c>
      <c r="I24" s="68" t="str">
        <f t="shared" si="3"/>
        <v/>
      </c>
      <c r="J24" s="10"/>
    </row>
    <row r="25" spans="1:12" ht="14.25" thickBot="1">
      <c r="A25" s="164"/>
      <c r="B25" s="159">
        <f>'①設計シート（同時使用率３F）'!B25</f>
        <v>0</v>
      </c>
      <c r="C25" s="159">
        <f>'①設計シート（同時使用率３F）'!C25</f>
        <v>0</v>
      </c>
      <c r="D25" s="70">
        <f t="shared" si="0"/>
        <v>0</v>
      </c>
      <c r="E25" s="144">
        <f t="shared" si="1"/>
        <v>0</v>
      </c>
      <c r="F25" s="165"/>
      <c r="G25" s="85">
        <f>'①設計シート（同時使用率３F）'!G25</f>
        <v>0</v>
      </c>
      <c r="H25" s="89" t="str">
        <f t="shared" si="2"/>
        <v/>
      </c>
      <c r="I25" s="90" t="str">
        <f t="shared" si="3"/>
        <v/>
      </c>
      <c r="J25" s="10"/>
    </row>
    <row r="26" spans="1:12" ht="14.25" thickBot="1">
      <c r="A26" s="77" t="s">
        <v>16</v>
      </c>
      <c r="B26" s="159" t="str">
        <f>IF(SUM(B10:B25),SUM(B10:B25)," ")</f>
        <v xml:space="preserve"> </v>
      </c>
      <c r="C26" s="71"/>
      <c r="D26" s="157" t="str">
        <f>IF(SUM(D10:D25),SUM(D10:D25)," ")</f>
        <v xml:space="preserve"> </v>
      </c>
      <c r="E26" s="18"/>
      <c r="F26" s="91" t="s">
        <v>27</v>
      </c>
      <c r="G26" s="160" t="str">
        <f>IF(SUM(G10:G25),SUM(G10:G25),"")</f>
        <v/>
      </c>
      <c r="H26" s="93" t="s">
        <v>132</v>
      </c>
      <c r="I26" s="238" t="str">
        <f>IF(SUM(I10:I25),SUM(I10:I25)," ")</f>
        <v xml:space="preserve"> </v>
      </c>
      <c r="J26" s="10"/>
    </row>
    <row r="27" spans="1:12">
      <c r="A27" s="8"/>
      <c r="C27" s="8"/>
      <c r="F27" s="47" t="str">
        <f>IF(G26="","",IF(G26&gt;G7,"同時使用水栓数が多すぎます。同時使用水栓数目標値："&amp;G7,IF(G26&lt;G7,"同時使用水栓数が足りていません。同時使用水栓数目標値："&amp;G7,"")))</f>
        <v/>
      </c>
      <c r="G27" s="44"/>
      <c r="H27" s="44"/>
      <c r="I27" s="44"/>
      <c r="J27" s="44"/>
    </row>
    <row r="28" spans="1:12" ht="15" thickBot="1">
      <c r="A28" s="128" t="s">
        <v>212</v>
      </c>
      <c r="C28" s="8"/>
      <c r="F28" s="47"/>
      <c r="G28" s="44"/>
      <c r="H28" s="44"/>
      <c r="I28" s="44"/>
    </row>
    <row r="29" spans="1:12">
      <c r="A29" s="182" t="s">
        <v>221</v>
      </c>
      <c r="B29" s="183"/>
      <c r="C29" s="97" t="s">
        <v>150</v>
      </c>
      <c r="D29" s="154"/>
      <c r="E29" s="154"/>
      <c r="F29" s="154"/>
      <c r="G29" s="154"/>
      <c r="J29" s="179"/>
    </row>
    <row r="30" spans="1:12">
      <c r="A30" s="187" t="s">
        <v>133</v>
      </c>
      <c r="B30" s="185">
        <f>'①設計シート（同時使用率３F）'!B29</f>
        <v>0</v>
      </c>
      <c r="C30" s="186" t="s">
        <v>134</v>
      </c>
      <c r="D30" s="154"/>
      <c r="E30" s="154"/>
      <c r="F30" s="154"/>
      <c r="G30" s="154"/>
      <c r="J30" s="179"/>
    </row>
    <row r="31" spans="1:12">
      <c r="A31" s="180" t="s">
        <v>222</v>
      </c>
      <c r="B31" s="56">
        <f>ROUNDUP(B29*B30,0)</f>
        <v>0</v>
      </c>
      <c r="C31" s="188" t="s">
        <v>150</v>
      </c>
      <c r="D31" s="308" t="s">
        <v>269</v>
      </c>
      <c r="E31" s="309"/>
      <c r="F31" s="303" t="s">
        <v>273</v>
      </c>
      <c r="G31" s="297" t="str">
        <f>IFERROR(B32/B30,"")</f>
        <v/>
      </c>
      <c r="H31" s="288" t="s">
        <v>270</v>
      </c>
      <c r="J31" t="s">
        <v>213</v>
      </c>
      <c r="K31" t="s">
        <v>214</v>
      </c>
      <c r="L31" t="s">
        <v>215</v>
      </c>
    </row>
    <row r="32" spans="1:12">
      <c r="A32" s="235" t="s">
        <v>208</v>
      </c>
      <c r="B32" s="236">
        <f>ROUND(IF(B31&lt;=30,J32,IF(B31&lt;=200,K32,L32)),1)</f>
        <v>0</v>
      </c>
      <c r="C32" s="237" t="s">
        <v>156</v>
      </c>
      <c r="D32" s="202" t="s">
        <v>252</v>
      </c>
      <c r="E32" s="57"/>
      <c r="F32" s="304"/>
      <c r="G32" s="298"/>
      <c r="H32" s="289"/>
      <c r="J32">
        <f>26*B31^0.36</f>
        <v>0</v>
      </c>
      <c r="K32">
        <f>13*B31^0.56</f>
        <v>0</v>
      </c>
      <c r="L32">
        <f>6.9*B31^0.67</f>
        <v>0</v>
      </c>
    </row>
    <row r="33" spans="1:11">
      <c r="A33" s="141" t="s">
        <v>187</v>
      </c>
      <c r="B33" s="222">
        <f>'①設計シート（同時使用率３F）'!B33</f>
        <v>0</v>
      </c>
      <c r="C33" s="142" t="s">
        <v>170</v>
      </c>
      <c r="D33" s="18" t="str">
        <f>IF('①設計シート（同時使用率３F）'!B33="","",IF(AND(B32&lt;=65,B33&lt;=49),"エラー　3階までの直結直圧はできません",IF(AND(B32&gt;=66,B33&lt;=74),"エラー　3階までの直結直圧はできません",IF(AND(B32&lt;=65,B33&gt;=50),"",IF(AND(B32&gt;=66,B33&gt;=75),"")))))</f>
        <v/>
      </c>
      <c r="E33" s="154"/>
      <c r="F33" s="154"/>
      <c r="G33" s="154"/>
    </row>
    <row r="34" spans="1:11" ht="14.25" thickBot="1">
      <c r="A34" s="100" t="s">
        <v>164</v>
      </c>
      <c r="B34" s="215">
        <f>'①設計シート（同時使用率３F）'!B34</f>
        <v>0</v>
      </c>
      <c r="C34" s="102" t="s">
        <v>28</v>
      </c>
      <c r="D34" s="18" t="str">
        <f>IF('①設計シート（同時使用率３F）'!B34="","",IF(B34&lt;0.2,"エラー　3階までの直結直圧はできません",""))</f>
        <v/>
      </c>
    </row>
    <row r="36" spans="1:11" ht="15" thickBot="1">
      <c r="A36" s="129" t="s">
        <v>181</v>
      </c>
    </row>
    <row r="37" spans="1:11">
      <c r="A37" s="103" t="s">
        <v>29</v>
      </c>
      <c r="B37" s="104" t="str">
        <f>IFERROR(I26/1000/60,"")</f>
        <v/>
      </c>
      <c r="C37" s="111" t="s">
        <v>178</v>
      </c>
    </row>
    <row r="38" spans="1:11">
      <c r="A38" s="67" t="s">
        <v>30</v>
      </c>
      <c r="B38" s="59">
        <f>'①設計シート（同時使用率３F）'!B38</f>
        <v>2</v>
      </c>
      <c r="C38" s="155" t="s">
        <v>177</v>
      </c>
      <c r="D38" s="276" t="str">
        <f>IF(B38&gt;2,"設定値が上限を超えています。（2.0以下とする)","")</f>
        <v/>
      </c>
      <c r="E38" s="276"/>
      <c r="F38" s="276"/>
      <c r="G38" s="276"/>
    </row>
    <row r="39" spans="1:11" ht="14.25" thickBot="1">
      <c r="A39" s="106" t="s">
        <v>166</v>
      </c>
      <c r="B39" s="107" t="str">
        <f>IFERROR(ROUND((SQRT(4*B37/(PI()*B38))*1000),0),"")</f>
        <v/>
      </c>
      <c r="C39" s="108" t="s">
        <v>31</v>
      </c>
      <c r="D39" s="272" t="s">
        <v>165</v>
      </c>
      <c r="E39" s="273"/>
      <c r="F39" s="143" t="s">
        <v>189</v>
      </c>
      <c r="G39" s="64" t="str">
        <f>IFERROR(VLOOKUP(B39,表!B37:C82,2,FALSE),"")</f>
        <v/>
      </c>
      <c r="H39" s="63" t="s">
        <v>33</v>
      </c>
    </row>
    <row r="40" spans="1:11">
      <c r="D40" s="273" t="s">
        <v>165</v>
      </c>
      <c r="E40" s="273"/>
      <c r="F40" s="143" t="s">
        <v>190</v>
      </c>
      <c r="G40" s="194"/>
      <c r="H40" s="63" t="s">
        <v>33</v>
      </c>
      <c r="I40" s="153"/>
    </row>
    <row r="41" spans="1:11" ht="15" thickBot="1">
      <c r="A41" s="129" t="s">
        <v>182</v>
      </c>
      <c r="B41" s="8"/>
      <c r="F41" s="150"/>
    </row>
    <row r="42" spans="1:11">
      <c r="A42" s="103" t="s">
        <v>29</v>
      </c>
      <c r="B42" s="104">
        <f>IFERROR(B32/1000/60,"")</f>
        <v>0</v>
      </c>
      <c r="C42" s="105" t="s">
        <v>178</v>
      </c>
    </row>
    <row r="43" spans="1:11">
      <c r="A43" s="109" t="s">
        <v>30</v>
      </c>
      <c r="B43" s="216">
        <f>'①設計シート（同時使用率３F）'!B43</f>
        <v>2</v>
      </c>
      <c r="C43" s="156" t="s">
        <v>177</v>
      </c>
    </row>
    <row r="44" spans="1:11" ht="14.25" thickBot="1">
      <c r="A44" s="69" t="s">
        <v>169</v>
      </c>
      <c r="B44" s="110">
        <f>IFERROR(ROUND((SQRT(4*B42/(PI()*B43))*1000),0),"")</f>
        <v>0</v>
      </c>
      <c r="C44" s="108" t="s">
        <v>170</v>
      </c>
      <c r="D44" s="272" t="s">
        <v>165</v>
      </c>
      <c r="E44" s="273"/>
      <c r="F44" s="62" t="s">
        <v>138</v>
      </c>
      <c r="G44" s="64" t="str">
        <f>IFERROR(VLOOKUP(B44,表!B37:C107,2,FALSE),"")</f>
        <v/>
      </c>
      <c r="H44" s="63" t="s">
        <v>33</v>
      </c>
    </row>
    <row r="45" spans="1:11">
      <c r="A45" s="149"/>
      <c r="B45" s="149"/>
      <c r="C45" s="25"/>
      <c r="D45" s="8"/>
      <c r="F45" s="144" t="str">
        <f>IF(G44="","",IF(G44&lt;50,"",IF(B33&gt;=100,"","配水管が100㎜以下のため3階までの直結直圧はできません")))</f>
        <v/>
      </c>
    </row>
    <row r="46" spans="1:11" ht="15" thickBot="1">
      <c r="A46" s="130" t="s">
        <v>191</v>
      </c>
    </row>
    <row r="47" spans="1:11" ht="13.5" customHeight="1">
      <c r="A47" s="262" t="s">
        <v>55</v>
      </c>
      <c r="B47" s="252" t="s">
        <v>153</v>
      </c>
      <c r="C47" s="264"/>
      <c r="D47" s="147" t="s">
        <v>32</v>
      </c>
      <c r="E47" s="112" t="s">
        <v>45</v>
      </c>
      <c r="F47" s="112" t="s">
        <v>77</v>
      </c>
      <c r="G47" s="112" t="s">
        <v>43</v>
      </c>
      <c r="H47" s="112" t="s">
        <v>152</v>
      </c>
      <c r="I47" s="66" t="s">
        <v>44</v>
      </c>
      <c r="J47" s="245" t="s">
        <v>162</v>
      </c>
      <c r="K47" s="245" t="s">
        <v>161</v>
      </c>
    </row>
    <row r="48" spans="1:11" ht="14.25" thickBot="1">
      <c r="A48" s="263"/>
      <c r="B48" s="254"/>
      <c r="C48" s="265"/>
      <c r="D48" s="148" t="s">
        <v>83</v>
      </c>
      <c r="E48" s="125" t="s">
        <v>156</v>
      </c>
      <c r="F48" s="125" t="s">
        <v>82</v>
      </c>
      <c r="G48" s="125" t="s">
        <v>81</v>
      </c>
      <c r="H48" s="125" t="s">
        <v>85</v>
      </c>
      <c r="I48" s="126" t="s">
        <v>84</v>
      </c>
      <c r="J48" s="245"/>
      <c r="K48" s="245"/>
    </row>
    <row r="49" spans="1:11">
      <c r="A49" s="217" t="str">
        <f>'①設計シート（同時使用率３F）'!A49</f>
        <v>A</v>
      </c>
      <c r="B49" s="266" t="s">
        <v>46</v>
      </c>
      <c r="C49" s="267"/>
      <c r="D49" s="80"/>
      <c r="E49" s="41"/>
      <c r="F49" s="30" t="str">
        <f t="shared" ref="F49:F59" si="4">IFERROR((E49/1000/60)/((D49/1000)^2*PI()/4),"  ")</f>
        <v xml:space="preserve">  </v>
      </c>
      <c r="G49" s="30" t="str">
        <f t="shared" ref="G49:G59" si="5">IFERROR(I49/H49*1000," ")</f>
        <v xml:space="preserve"> </v>
      </c>
      <c r="H49" s="218">
        <f>'①設計シート（同時使用率３F）'!H49</f>
        <v>0</v>
      </c>
      <c r="I49" s="123" t="str">
        <f>IF(D49&lt;=50,J49,K49)</f>
        <v>　</v>
      </c>
      <c r="J49" t="str">
        <f>IFERROR(((0.0126+(0.01739-0.1087*(D49/1000))/SQRT(F49))*H49/(D49/1000)*F49^2/(2*9.8)),"　")</f>
        <v>　</v>
      </c>
      <c r="K49" t="str">
        <f t="shared" ref="K49:K85" si="6">IFERROR(10.666*(140^(-1.85) )*((D49/1000)^(-4.87))*(((E49/1000)/60)^1.85)*H49,"")</f>
        <v/>
      </c>
    </row>
    <row r="50" spans="1:11">
      <c r="A50" s="217" t="str">
        <f>'①設計シート（同時使用率３F）'!A50</f>
        <v>B</v>
      </c>
      <c r="B50" s="268" t="s">
        <v>47</v>
      </c>
      <c r="C50" s="269"/>
      <c r="D50" s="75"/>
      <c r="E50" s="4"/>
      <c r="F50" s="2" t="str">
        <f t="shared" si="4"/>
        <v xml:space="preserve">  </v>
      </c>
      <c r="G50" s="2" t="str">
        <f t="shared" si="5"/>
        <v xml:space="preserve"> </v>
      </c>
      <c r="H50" s="218">
        <f>'①設計シート（同時使用率３F）'!H50</f>
        <v>0</v>
      </c>
      <c r="I50" s="114" t="str">
        <f t="shared" ref="I50:I59" si="7">IF(D50&lt;=50,J50,K50)</f>
        <v>　</v>
      </c>
      <c r="J50" t="str">
        <f t="shared" ref="J50:J85" si="8">IFERROR(((0.0126+(0.01739-0.1087*(D50/1000))/SQRT(F50))*H50/(D50/1000)*F50^2/(2*9.8)),"　")</f>
        <v>　</v>
      </c>
      <c r="K50" t="str">
        <f t="shared" si="6"/>
        <v/>
      </c>
    </row>
    <row r="51" spans="1:11">
      <c r="A51" s="217" t="str">
        <f>'①設計シート（同時使用率３F）'!A51</f>
        <v>C</v>
      </c>
      <c r="B51" s="268" t="s">
        <v>48</v>
      </c>
      <c r="C51" s="269"/>
      <c r="D51" s="75"/>
      <c r="E51" s="4"/>
      <c r="F51" s="2" t="str">
        <f t="shared" si="4"/>
        <v xml:space="preserve">  </v>
      </c>
      <c r="G51" s="2" t="str">
        <f t="shared" si="5"/>
        <v xml:space="preserve"> </v>
      </c>
      <c r="H51" s="218">
        <f>'①設計シート（同時使用率３F）'!H51</f>
        <v>0</v>
      </c>
      <c r="I51" s="114" t="str">
        <f t="shared" si="7"/>
        <v>　</v>
      </c>
      <c r="J51" t="str">
        <f t="shared" si="8"/>
        <v>　</v>
      </c>
      <c r="K51" t="str">
        <f t="shared" si="6"/>
        <v/>
      </c>
    </row>
    <row r="52" spans="1:11">
      <c r="A52" s="217" t="str">
        <f>'①設計シート（同時使用率３F）'!A52</f>
        <v>D</v>
      </c>
      <c r="B52" s="268" t="s">
        <v>49</v>
      </c>
      <c r="C52" s="269"/>
      <c r="D52" s="75"/>
      <c r="E52" s="4"/>
      <c r="F52" s="2" t="str">
        <f t="shared" si="4"/>
        <v xml:space="preserve">  </v>
      </c>
      <c r="G52" s="2" t="str">
        <f t="shared" si="5"/>
        <v xml:space="preserve"> </v>
      </c>
      <c r="H52" s="218">
        <f>'①設計シート（同時使用率３F）'!H52</f>
        <v>0</v>
      </c>
      <c r="I52" s="114" t="str">
        <f t="shared" si="7"/>
        <v>　</v>
      </c>
      <c r="J52" t="str">
        <f t="shared" si="8"/>
        <v>　</v>
      </c>
      <c r="K52" t="str">
        <f t="shared" si="6"/>
        <v/>
      </c>
    </row>
    <row r="53" spans="1:11">
      <c r="A53" s="217" t="str">
        <f>'①設計シート（同時使用率３F）'!A53</f>
        <v>E</v>
      </c>
      <c r="B53" s="268" t="s">
        <v>50</v>
      </c>
      <c r="C53" s="269"/>
      <c r="D53" s="75"/>
      <c r="E53" s="4"/>
      <c r="F53" s="2" t="str">
        <f t="shared" si="4"/>
        <v xml:space="preserve">  </v>
      </c>
      <c r="G53" s="2" t="str">
        <f t="shared" si="5"/>
        <v xml:space="preserve"> </v>
      </c>
      <c r="H53" s="218">
        <f>'①設計シート（同時使用率３F）'!H53</f>
        <v>0</v>
      </c>
      <c r="I53" s="114" t="str">
        <f t="shared" si="7"/>
        <v>　</v>
      </c>
      <c r="J53" t="str">
        <f t="shared" si="8"/>
        <v>　</v>
      </c>
      <c r="K53" t="str">
        <f t="shared" si="6"/>
        <v/>
      </c>
    </row>
    <row r="54" spans="1:11">
      <c r="A54" s="217" t="str">
        <f>'①設計シート（同時使用率３F）'!A54</f>
        <v>F</v>
      </c>
      <c r="B54" s="268" t="s">
        <v>51</v>
      </c>
      <c r="C54" s="269"/>
      <c r="D54" s="75"/>
      <c r="E54" s="4"/>
      <c r="F54" s="2" t="str">
        <f t="shared" si="4"/>
        <v xml:space="preserve">  </v>
      </c>
      <c r="G54" s="2" t="str">
        <f t="shared" si="5"/>
        <v xml:space="preserve"> </v>
      </c>
      <c r="H54" s="218">
        <f>'①設計シート（同時使用率３F）'!H54</f>
        <v>0</v>
      </c>
      <c r="I54" s="114" t="str">
        <f t="shared" si="7"/>
        <v>　</v>
      </c>
      <c r="J54" t="str">
        <f t="shared" si="8"/>
        <v>　</v>
      </c>
      <c r="K54" t="str">
        <f t="shared" si="6"/>
        <v/>
      </c>
    </row>
    <row r="55" spans="1:11">
      <c r="A55" s="217" t="str">
        <f>'①設計シート（同時使用率３F）'!A55</f>
        <v>G</v>
      </c>
      <c r="B55" s="268" t="s">
        <v>52</v>
      </c>
      <c r="C55" s="269"/>
      <c r="D55" s="75"/>
      <c r="E55" s="4"/>
      <c r="F55" s="2" t="str">
        <f t="shared" si="4"/>
        <v xml:space="preserve">  </v>
      </c>
      <c r="G55" s="2" t="str">
        <f t="shared" si="5"/>
        <v xml:space="preserve"> </v>
      </c>
      <c r="H55" s="218">
        <f>'①設計シート（同時使用率３F）'!H55</f>
        <v>0</v>
      </c>
      <c r="I55" s="114" t="str">
        <f t="shared" si="7"/>
        <v>　</v>
      </c>
      <c r="J55" t="str">
        <f t="shared" si="8"/>
        <v>　</v>
      </c>
      <c r="K55" t="str">
        <f t="shared" si="6"/>
        <v/>
      </c>
    </row>
    <row r="56" spans="1:11">
      <c r="A56" s="217" t="str">
        <f>'①設計シート（同時使用率３F）'!A56</f>
        <v>H</v>
      </c>
      <c r="B56" s="268" t="s">
        <v>53</v>
      </c>
      <c r="C56" s="269"/>
      <c r="D56" s="75"/>
      <c r="E56" s="4"/>
      <c r="F56" s="2" t="str">
        <f t="shared" si="4"/>
        <v xml:space="preserve">  </v>
      </c>
      <c r="G56" s="2" t="str">
        <f t="shared" si="5"/>
        <v xml:space="preserve"> </v>
      </c>
      <c r="H56" s="218">
        <f>'①設計シート（同時使用率３F）'!H56</f>
        <v>0</v>
      </c>
      <c r="I56" s="114" t="str">
        <f t="shared" si="7"/>
        <v>　</v>
      </c>
      <c r="J56" t="str">
        <f t="shared" si="8"/>
        <v>　</v>
      </c>
      <c r="K56" t="str">
        <f t="shared" si="6"/>
        <v/>
      </c>
    </row>
    <row r="57" spans="1:11">
      <c r="A57" s="217" t="str">
        <f>'①設計シート（同時使用率３F）'!A57</f>
        <v>I</v>
      </c>
      <c r="B57" s="268" t="s">
        <v>54</v>
      </c>
      <c r="C57" s="269"/>
      <c r="D57" s="75"/>
      <c r="E57" s="4"/>
      <c r="F57" s="2" t="str">
        <f t="shared" si="4"/>
        <v xml:space="preserve">  </v>
      </c>
      <c r="G57" s="2" t="str">
        <f t="shared" si="5"/>
        <v xml:space="preserve"> </v>
      </c>
      <c r="H57" s="218">
        <f>'①設計シート（同時使用率３F）'!H57</f>
        <v>0</v>
      </c>
      <c r="I57" s="114" t="str">
        <f t="shared" si="7"/>
        <v>　</v>
      </c>
      <c r="J57" t="str">
        <f t="shared" si="8"/>
        <v>　</v>
      </c>
      <c r="K57" t="str">
        <f t="shared" si="6"/>
        <v/>
      </c>
    </row>
    <row r="58" spans="1:11">
      <c r="A58" s="217" t="str">
        <f>'①設計シート（同時使用率３F）'!A58</f>
        <v>J</v>
      </c>
      <c r="B58" s="258" t="s">
        <v>175</v>
      </c>
      <c r="C58" s="259"/>
      <c r="D58" s="80"/>
      <c r="E58" s="41"/>
      <c r="F58" s="30" t="str">
        <f t="shared" si="4"/>
        <v xml:space="preserve">  </v>
      </c>
      <c r="G58" s="30" t="str">
        <f t="shared" si="5"/>
        <v xml:space="preserve"> </v>
      </c>
      <c r="H58" s="218">
        <f>'①設計シート（同時使用率３F）'!H58</f>
        <v>0</v>
      </c>
      <c r="I58" s="123" t="str">
        <f>IF(D58&lt;=50,J58,K58)</f>
        <v>　</v>
      </c>
      <c r="J58" t="str">
        <f t="shared" si="8"/>
        <v>　</v>
      </c>
      <c r="K58" t="str">
        <f t="shared" si="6"/>
        <v/>
      </c>
    </row>
    <row r="59" spans="1:11" ht="14.25" thickBot="1">
      <c r="A59" s="219" t="str">
        <f>'①設計シート（同時使用率３F）'!A59</f>
        <v>K</v>
      </c>
      <c r="B59" s="260" t="s">
        <v>176</v>
      </c>
      <c r="C59" s="261"/>
      <c r="D59" s="75"/>
      <c r="E59" s="4"/>
      <c r="F59" s="26" t="str">
        <f t="shared" si="4"/>
        <v xml:space="preserve">  </v>
      </c>
      <c r="G59" s="26" t="str">
        <f t="shared" si="5"/>
        <v xml:space="preserve"> </v>
      </c>
      <c r="H59" s="218">
        <f>'①設計シート（同時使用率３F）'!H59</f>
        <v>0</v>
      </c>
      <c r="I59" s="114" t="str">
        <f t="shared" si="7"/>
        <v>　</v>
      </c>
      <c r="J59" t="str">
        <f t="shared" si="8"/>
        <v>　</v>
      </c>
      <c r="K59" t="str">
        <f t="shared" si="6"/>
        <v/>
      </c>
    </row>
    <row r="60" spans="1:11" ht="14.25" thickBot="1">
      <c r="A60" s="248" t="s">
        <v>57</v>
      </c>
      <c r="B60" s="249"/>
      <c r="C60" s="249"/>
      <c r="D60" s="250"/>
      <c r="E60" s="250"/>
      <c r="F60" s="250"/>
      <c r="G60" s="250"/>
      <c r="H60" s="251"/>
      <c r="I60" s="116" t="str">
        <f>IF(SUM(I49:I59),SUM(I49:I59)," ")</f>
        <v xml:space="preserve"> </v>
      </c>
      <c r="J60" t="str">
        <f t="shared" si="8"/>
        <v>　</v>
      </c>
      <c r="K60" t="str">
        <f t="shared" si="6"/>
        <v/>
      </c>
    </row>
    <row r="61" spans="1:11">
      <c r="A61" s="8"/>
      <c r="J61" t="str">
        <f t="shared" si="8"/>
        <v>　</v>
      </c>
      <c r="K61" t="str">
        <f t="shared" si="6"/>
        <v/>
      </c>
    </row>
    <row r="62" spans="1:11" ht="15" thickBot="1">
      <c r="A62" s="131" t="s">
        <v>192</v>
      </c>
      <c r="C62" s="192" t="s">
        <v>258</v>
      </c>
      <c r="J62" t="str">
        <f t="shared" si="8"/>
        <v>　</v>
      </c>
      <c r="K62" t="str">
        <f t="shared" si="6"/>
        <v/>
      </c>
    </row>
    <row r="63" spans="1:11">
      <c r="A63" s="262" t="s">
        <v>55</v>
      </c>
      <c r="B63" s="252" t="s">
        <v>75</v>
      </c>
      <c r="C63" s="253"/>
      <c r="D63" s="112" t="s">
        <v>126</v>
      </c>
      <c r="E63" s="112" t="s">
        <v>45</v>
      </c>
      <c r="F63" s="112" t="s">
        <v>77</v>
      </c>
      <c r="G63" s="112" t="s">
        <v>43</v>
      </c>
      <c r="H63" s="112" t="s">
        <v>66</v>
      </c>
      <c r="I63" s="66" t="s">
        <v>44</v>
      </c>
      <c r="J63" t="str">
        <f t="shared" si="8"/>
        <v>　</v>
      </c>
      <c r="K63" t="str">
        <f t="shared" si="6"/>
        <v/>
      </c>
    </row>
    <row r="64" spans="1:11" ht="14.25" thickBot="1">
      <c r="A64" s="263"/>
      <c r="B64" s="254"/>
      <c r="C64" s="255"/>
      <c r="D64" s="125" t="s">
        <v>83</v>
      </c>
      <c r="E64" s="125" t="s">
        <v>156</v>
      </c>
      <c r="F64" s="125" t="s">
        <v>82</v>
      </c>
      <c r="G64" s="125" t="s">
        <v>81</v>
      </c>
      <c r="H64" s="125" t="s">
        <v>85</v>
      </c>
      <c r="I64" s="126" t="s">
        <v>84</v>
      </c>
      <c r="J64" t="str">
        <f t="shared" si="8"/>
        <v>　</v>
      </c>
      <c r="K64" t="str">
        <f t="shared" si="6"/>
        <v/>
      </c>
    </row>
    <row r="65" spans="1:11">
      <c r="A65" s="217">
        <f>'①設計シート（同時使用率３F）'!A65</f>
        <v>0</v>
      </c>
      <c r="B65" s="301">
        <f>'①設計シート（同時使用率３F）'!B65:C65</f>
        <v>0</v>
      </c>
      <c r="C65" s="302"/>
      <c r="D65" s="41"/>
      <c r="E65" s="41"/>
      <c r="F65" s="30" t="str">
        <f t="shared" ref="F65:F86" si="9">IFERROR((E65/1000/60)/((D65/1000)^2*PI()/4),"")</f>
        <v/>
      </c>
      <c r="G65" s="30" t="str">
        <f t="shared" ref="G65:G85" si="10">IFERROR(I65/H65*1000," ")</f>
        <v xml:space="preserve"> </v>
      </c>
      <c r="H65" s="218" t="str">
        <f>'①設計シート（同時使用率３F）'!H65</f>
        <v/>
      </c>
      <c r="I65" s="123" t="str">
        <f>IF(D65&lt;=50,J65,K65)</f>
        <v>　</v>
      </c>
      <c r="J65" t="str">
        <f>IFERROR(((0.0126+(0.01739-0.1087*(D65/1000))/SQRT(F65))*H65/(D65/1000)*F65^2/(2*9.8)),"　")</f>
        <v>　</v>
      </c>
      <c r="K65" t="str">
        <f t="shared" si="6"/>
        <v/>
      </c>
    </row>
    <row r="66" spans="1:11">
      <c r="A66" s="217">
        <f>'①設計シート（同時使用率３F）'!A66</f>
        <v>0</v>
      </c>
      <c r="B66" s="301">
        <f>'①設計シート（同時使用率３F）'!B66:C66</f>
        <v>0</v>
      </c>
      <c r="C66" s="302"/>
      <c r="D66" s="4"/>
      <c r="E66" s="4"/>
      <c r="F66" s="2" t="str">
        <f t="shared" si="9"/>
        <v/>
      </c>
      <c r="G66" s="2" t="str">
        <f t="shared" si="10"/>
        <v xml:space="preserve"> </v>
      </c>
      <c r="H66" s="218" t="str">
        <f>'①設計シート（同時使用率３F）'!H66</f>
        <v/>
      </c>
      <c r="I66" s="123" t="str">
        <f t="shared" ref="I66:I84" si="11">IF(D66&lt;=50,J66,K66)</f>
        <v>　</v>
      </c>
      <c r="J66" t="str">
        <f t="shared" si="8"/>
        <v>　</v>
      </c>
      <c r="K66" t="str">
        <f t="shared" si="6"/>
        <v/>
      </c>
    </row>
    <row r="67" spans="1:11">
      <c r="A67" s="217">
        <f>'①設計シート（同時使用率３F）'!A67</f>
        <v>0</v>
      </c>
      <c r="B67" s="301">
        <f>'①設計シート（同時使用率３F）'!B67:C67</f>
        <v>0</v>
      </c>
      <c r="C67" s="302"/>
      <c r="D67" s="4"/>
      <c r="E67" s="4"/>
      <c r="F67" s="2" t="str">
        <f t="shared" si="9"/>
        <v/>
      </c>
      <c r="G67" s="2" t="str">
        <f t="shared" si="10"/>
        <v xml:space="preserve"> </v>
      </c>
      <c r="H67" s="218" t="str">
        <f>'①設計シート（同時使用率３F）'!H67</f>
        <v/>
      </c>
      <c r="I67" s="123" t="str">
        <f t="shared" si="11"/>
        <v>　</v>
      </c>
      <c r="J67" t="str">
        <f t="shared" si="8"/>
        <v>　</v>
      </c>
      <c r="K67" t="str">
        <f t="shared" si="6"/>
        <v/>
      </c>
    </row>
    <row r="68" spans="1:11">
      <c r="A68" s="217">
        <f>'①設計シート（同時使用率３F）'!A68</f>
        <v>0</v>
      </c>
      <c r="B68" s="301">
        <f>'①設計シート（同時使用率３F）'!B68:C68</f>
        <v>0</v>
      </c>
      <c r="C68" s="302"/>
      <c r="D68" s="4"/>
      <c r="E68" s="4"/>
      <c r="F68" s="2" t="str">
        <f t="shared" si="9"/>
        <v/>
      </c>
      <c r="G68" s="2" t="str">
        <f t="shared" si="10"/>
        <v xml:space="preserve"> </v>
      </c>
      <c r="H68" s="218" t="str">
        <f>'①設計シート（同時使用率３F）'!H68</f>
        <v/>
      </c>
      <c r="I68" s="123" t="str">
        <f t="shared" si="11"/>
        <v>　</v>
      </c>
      <c r="J68" t="str">
        <f t="shared" si="8"/>
        <v>　</v>
      </c>
      <c r="K68" t="str">
        <f t="shared" si="6"/>
        <v/>
      </c>
    </row>
    <row r="69" spans="1:11">
      <c r="A69" s="217">
        <f>'①設計シート（同時使用率３F）'!A69</f>
        <v>0</v>
      </c>
      <c r="B69" s="301">
        <f>'①設計シート（同時使用率３F）'!B69:C69</f>
        <v>0</v>
      </c>
      <c r="C69" s="302"/>
      <c r="D69" s="4"/>
      <c r="E69" s="4"/>
      <c r="F69" s="2" t="str">
        <f t="shared" si="9"/>
        <v/>
      </c>
      <c r="G69" s="2" t="str">
        <f t="shared" si="10"/>
        <v xml:space="preserve"> </v>
      </c>
      <c r="H69" s="218" t="str">
        <f>'①設計シート（同時使用率３F）'!H69</f>
        <v/>
      </c>
      <c r="I69" s="123" t="str">
        <f t="shared" si="11"/>
        <v>　</v>
      </c>
      <c r="J69" t="str">
        <f t="shared" si="8"/>
        <v>　</v>
      </c>
      <c r="K69" t="str">
        <f t="shared" si="6"/>
        <v/>
      </c>
    </row>
    <row r="70" spans="1:11">
      <c r="A70" s="217">
        <f>'①設計シート（同時使用率３F）'!A70</f>
        <v>0</v>
      </c>
      <c r="B70" s="301">
        <f>'①設計シート（同時使用率３F）'!B70:C70</f>
        <v>0</v>
      </c>
      <c r="C70" s="302"/>
      <c r="D70" s="4"/>
      <c r="E70" s="4"/>
      <c r="F70" s="2" t="str">
        <f t="shared" si="9"/>
        <v/>
      </c>
      <c r="G70" s="2" t="str">
        <f t="shared" si="10"/>
        <v xml:space="preserve"> </v>
      </c>
      <c r="H70" s="218" t="str">
        <f>'①設計シート（同時使用率３F）'!H70</f>
        <v/>
      </c>
      <c r="I70" s="123" t="str">
        <f t="shared" si="11"/>
        <v>　</v>
      </c>
      <c r="J70" t="str">
        <f t="shared" si="8"/>
        <v>　</v>
      </c>
      <c r="K70" t="str">
        <f t="shared" si="6"/>
        <v/>
      </c>
    </row>
    <row r="71" spans="1:11">
      <c r="A71" s="217">
        <f>'①設計シート（同時使用率３F）'!A71</f>
        <v>0</v>
      </c>
      <c r="B71" s="301">
        <f>'①設計シート（同時使用率３F）'!B71:C71</f>
        <v>0</v>
      </c>
      <c r="C71" s="302"/>
      <c r="D71" s="4"/>
      <c r="E71" s="4"/>
      <c r="F71" s="2" t="str">
        <f t="shared" si="9"/>
        <v/>
      </c>
      <c r="G71" s="2" t="str">
        <f t="shared" si="10"/>
        <v xml:space="preserve"> </v>
      </c>
      <c r="H71" s="218" t="str">
        <f>'①設計シート（同時使用率３F）'!H71</f>
        <v/>
      </c>
      <c r="I71" s="123" t="str">
        <f t="shared" si="11"/>
        <v>　</v>
      </c>
      <c r="J71" t="str">
        <f t="shared" si="8"/>
        <v>　</v>
      </c>
      <c r="K71" t="str">
        <f t="shared" si="6"/>
        <v/>
      </c>
    </row>
    <row r="72" spans="1:11">
      <c r="A72" s="217">
        <f>'①設計シート（同時使用率３F）'!A72</f>
        <v>0</v>
      </c>
      <c r="B72" s="301">
        <f>'①設計シート（同時使用率３F）'!B72:C72</f>
        <v>0</v>
      </c>
      <c r="C72" s="302"/>
      <c r="D72" s="4"/>
      <c r="E72" s="4"/>
      <c r="F72" s="2" t="str">
        <f t="shared" si="9"/>
        <v/>
      </c>
      <c r="G72" s="2" t="str">
        <f t="shared" si="10"/>
        <v xml:space="preserve"> </v>
      </c>
      <c r="H72" s="218" t="str">
        <f>'①設計シート（同時使用率３F）'!H72</f>
        <v/>
      </c>
      <c r="I72" s="123" t="str">
        <f t="shared" si="11"/>
        <v>　</v>
      </c>
      <c r="J72" t="str">
        <f t="shared" si="8"/>
        <v>　</v>
      </c>
      <c r="K72" t="str">
        <f t="shared" si="6"/>
        <v/>
      </c>
    </row>
    <row r="73" spans="1:11">
      <c r="A73" s="217">
        <f>'①設計シート（同時使用率３F）'!A73</f>
        <v>0</v>
      </c>
      <c r="B73" s="301">
        <f>'①設計シート（同時使用率３F）'!B73:C73</f>
        <v>0</v>
      </c>
      <c r="C73" s="302"/>
      <c r="D73" s="4"/>
      <c r="E73" s="4"/>
      <c r="F73" s="2" t="str">
        <f t="shared" si="9"/>
        <v/>
      </c>
      <c r="G73" s="2" t="str">
        <f t="shared" si="10"/>
        <v xml:space="preserve"> </v>
      </c>
      <c r="H73" s="218" t="str">
        <f>'①設計シート（同時使用率３F）'!H73</f>
        <v/>
      </c>
      <c r="I73" s="123" t="str">
        <f t="shared" si="11"/>
        <v>　</v>
      </c>
      <c r="J73" t="str">
        <f t="shared" si="8"/>
        <v>　</v>
      </c>
      <c r="K73" t="str">
        <f t="shared" si="6"/>
        <v/>
      </c>
    </row>
    <row r="74" spans="1:11">
      <c r="A74" s="217">
        <f>'①設計シート（同時使用率３F）'!A74</f>
        <v>0</v>
      </c>
      <c r="B74" s="301">
        <f>'①設計シート（同時使用率３F）'!B74:C74</f>
        <v>0</v>
      </c>
      <c r="C74" s="302"/>
      <c r="D74" s="4"/>
      <c r="E74" s="4"/>
      <c r="F74" s="2" t="str">
        <f t="shared" si="9"/>
        <v/>
      </c>
      <c r="G74" s="2" t="str">
        <f t="shared" si="10"/>
        <v xml:space="preserve"> </v>
      </c>
      <c r="H74" s="218" t="str">
        <f>'①設計シート（同時使用率３F）'!H74</f>
        <v/>
      </c>
      <c r="I74" s="123" t="str">
        <f t="shared" si="11"/>
        <v>　</v>
      </c>
      <c r="J74" t="str">
        <f t="shared" si="8"/>
        <v>　</v>
      </c>
      <c r="K74" t="str">
        <f t="shared" si="6"/>
        <v/>
      </c>
    </row>
    <row r="75" spans="1:11">
      <c r="A75" s="217">
        <f>'①設計シート（同時使用率３F）'!A75</f>
        <v>0</v>
      </c>
      <c r="B75" s="301">
        <f>'①設計シート（同時使用率３F）'!B75:C75</f>
        <v>0</v>
      </c>
      <c r="C75" s="302"/>
      <c r="D75" s="4"/>
      <c r="E75" s="4"/>
      <c r="F75" s="2" t="str">
        <f t="shared" si="9"/>
        <v/>
      </c>
      <c r="G75" s="2" t="str">
        <f t="shared" si="10"/>
        <v xml:space="preserve"> </v>
      </c>
      <c r="H75" s="218">
        <f>'①設計シート（同時使用率３F）'!H75</f>
        <v>0</v>
      </c>
      <c r="I75" s="123" t="str">
        <f t="shared" si="11"/>
        <v>　</v>
      </c>
      <c r="J75" t="str">
        <f t="shared" si="8"/>
        <v>　</v>
      </c>
      <c r="K75" t="str">
        <f t="shared" si="6"/>
        <v/>
      </c>
    </row>
    <row r="76" spans="1:11">
      <c r="A76" s="217">
        <f>'①設計シート（同時使用率３F）'!A76</f>
        <v>0</v>
      </c>
      <c r="B76" s="301">
        <f>'①設計シート（同時使用率３F）'!B76:C76</f>
        <v>0</v>
      </c>
      <c r="C76" s="302"/>
      <c r="D76" s="29"/>
      <c r="E76" s="28"/>
      <c r="F76" s="26" t="str">
        <f t="shared" si="9"/>
        <v/>
      </c>
      <c r="G76" s="26" t="str">
        <f t="shared" si="10"/>
        <v xml:space="preserve"> </v>
      </c>
      <c r="H76" s="218" t="str">
        <f>'①設計シート（同時使用率３F）'!H76</f>
        <v/>
      </c>
      <c r="I76" s="123" t="str">
        <f t="shared" si="11"/>
        <v>　</v>
      </c>
      <c r="J76" t="str">
        <f t="shared" si="8"/>
        <v>　</v>
      </c>
      <c r="K76" t="str">
        <f t="shared" si="6"/>
        <v/>
      </c>
    </row>
    <row r="77" spans="1:11">
      <c r="A77" s="217">
        <f>'①設計シート（同時使用率３F）'!A77</f>
        <v>0</v>
      </c>
      <c r="B77" s="301">
        <f>'①設計シート（同時使用率３F）'!B77:C77</f>
        <v>0</v>
      </c>
      <c r="C77" s="302"/>
      <c r="D77" s="4"/>
      <c r="E77" s="4"/>
      <c r="F77" s="2" t="str">
        <f t="shared" si="9"/>
        <v/>
      </c>
      <c r="G77" s="2" t="str">
        <f t="shared" si="10"/>
        <v xml:space="preserve"> </v>
      </c>
      <c r="H77" s="218" t="str">
        <f>'①設計シート（同時使用率３F）'!H77</f>
        <v/>
      </c>
      <c r="I77" s="123" t="str">
        <f t="shared" si="11"/>
        <v>　</v>
      </c>
      <c r="J77" t="str">
        <f t="shared" si="8"/>
        <v>　</v>
      </c>
      <c r="K77" t="str">
        <f t="shared" si="6"/>
        <v/>
      </c>
    </row>
    <row r="78" spans="1:11">
      <c r="A78" s="217">
        <f>'①設計シート（同時使用率３F）'!A78</f>
        <v>0</v>
      </c>
      <c r="B78" s="301">
        <f>'①設計シート（同時使用率３F）'!B78:C78</f>
        <v>0</v>
      </c>
      <c r="C78" s="302"/>
      <c r="D78" s="4"/>
      <c r="E78" s="4"/>
      <c r="F78" s="2" t="str">
        <f t="shared" si="9"/>
        <v/>
      </c>
      <c r="G78" s="2" t="str">
        <f t="shared" si="10"/>
        <v xml:space="preserve"> </v>
      </c>
      <c r="H78" s="218" t="str">
        <f>'①設計シート（同時使用率３F）'!H78</f>
        <v/>
      </c>
      <c r="I78" s="123" t="str">
        <f t="shared" si="11"/>
        <v>　</v>
      </c>
      <c r="J78" t="str">
        <f t="shared" si="8"/>
        <v>　</v>
      </c>
      <c r="K78" t="str">
        <f t="shared" si="6"/>
        <v/>
      </c>
    </row>
    <row r="79" spans="1:11">
      <c r="A79" s="217">
        <f>'①設計シート（同時使用率３F）'!A79</f>
        <v>0</v>
      </c>
      <c r="B79" s="301">
        <f>'①設計シート（同時使用率３F）'!B79:C79</f>
        <v>0</v>
      </c>
      <c r="C79" s="302"/>
      <c r="D79" s="42"/>
      <c r="E79" s="4"/>
      <c r="F79" s="2" t="str">
        <f t="shared" si="9"/>
        <v/>
      </c>
      <c r="G79" s="2" t="str">
        <f t="shared" si="10"/>
        <v xml:space="preserve"> </v>
      </c>
      <c r="H79" s="218" t="str">
        <f>'①設計シート（同時使用率３F）'!H79</f>
        <v/>
      </c>
      <c r="I79" s="123" t="str">
        <f t="shared" si="11"/>
        <v>　</v>
      </c>
      <c r="J79" t="str">
        <f t="shared" si="8"/>
        <v>　</v>
      </c>
      <c r="K79" t="str">
        <f t="shared" si="6"/>
        <v/>
      </c>
    </row>
    <row r="80" spans="1:11">
      <c r="A80" s="217">
        <f>'①設計シート（同時使用率３F）'!A80</f>
        <v>0</v>
      </c>
      <c r="B80" s="301">
        <f>'①設計シート（同時使用率３F）'!B80:C80</f>
        <v>0</v>
      </c>
      <c r="C80" s="302"/>
      <c r="D80" s="42"/>
      <c r="E80" s="4"/>
      <c r="F80" s="2" t="str">
        <f t="shared" si="9"/>
        <v/>
      </c>
      <c r="G80" s="2" t="str">
        <f t="shared" si="10"/>
        <v xml:space="preserve"> </v>
      </c>
      <c r="H80" s="218" t="str">
        <f>'①設計シート（同時使用率３F）'!H80</f>
        <v/>
      </c>
      <c r="I80" s="123" t="str">
        <f t="shared" si="11"/>
        <v>　</v>
      </c>
      <c r="J80" t="str">
        <f t="shared" si="8"/>
        <v>　</v>
      </c>
      <c r="K80" t="str">
        <f t="shared" si="6"/>
        <v/>
      </c>
    </row>
    <row r="81" spans="1:11">
      <c r="A81" s="217">
        <f>'①設計シート（同時使用率３F）'!A81</f>
        <v>0</v>
      </c>
      <c r="B81" s="301">
        <f>'①設計シート（同時使用率３F）'!B81:C81</f>
        <v>0</v>
      </c>
      <c r="C81" s="302"/>
      <c r="D81" s="42"/>
      <c r="E81" s="4"/>
      <c r="F81" s="2" t="str">
        <f t="shared" si="9"/>
        <v/>
      </c>
      <c r="G81" s="2" t="str">
        <f t="shared" si="10"/>
        <v xml:space="preserve"> </v>
      </c>
      <c r="H81" s="218" t="str">
        <f>'①設計シート（同時使用率３F）'!H81</f>
        <v/>
      </c>
      <c r="I81" s="123" t="str">
        <f t="shared" si="11"/>
        <v>　</v>
      </c>
      <c r="J81" t="str">
        <f t="shared" si="8"/>
        <v>　</v>
      </c>
      <c r="K81" t="str">
        <f t="shared" si="6"/>
        <v/>
      </c>
    </row>
    <row r="82" spans="1:11">
      <c r="A82" s="217">
        <f>'①設計シート（同時使用率３F）'!A82</f>
        <v>0</v>
      </c>
      <c r="B82" s="301">
        <f>'①設計シート（同時使用率３F）'!B82:C82</f>
        <v>0</v>
      </c>
      <c r="C82" s="302"/>
      <c r="D82" s="42"/>
      <c r="E82" s="4"/>
      <c r="F82" s="2" t="str">
        <f t="shared" si="9"/>
        <v/>
      </c>
      <c r="G82" s="2" t="str">
        <f t="shared" si="10"/>
        <v xml:space="preserve"> </v>
      </c>
      <c r="H82" s="218" t="str">
        <f>'①設計シート（同時使用率３F）'!H82</f>
        <v/>
      </c>
      <c r="I82" s="123" t="str">
        <f t="shared" si="11"/>
        <v>　</v>
      </c>
      <c r="J82" t="str">
        <f t="shared" si="8"/>
        <v>　</v>
      </c>
      <c r="K82" t="str">
        <f t="shared" si="6"/>
        <v/>
      </c>
    </row>
    <row r="83" spans="1:11">
      <c r="A83" s="217">
        <f>'①設計シート（同時使用率３F）'!A83</f>
        <v>0</v>
      </c>
      <c r="B83" s="301">
        <f>'①設計シート（同時使用率３F）'!B83:C83</f>
        <v>0</v>
      </c>
      <c r="C83" s="302"/>
      <c r="D83" s="42"/>
      <c r="E83" s="4"/>
      <c r="F83" s="2" t="str">
        <f t="shared" si="9"/>
        <v/>
      </c>
      <c r="G83" s="2" t="str">
        <f t="shared" si="10"/>
        <v xml:space="preserve"> </v>
      </c>
      <c r="H83" s="218" t="str">
        <f>'①設計シート（同時使用率３F）'!H83</f>
        <v/>
      </c>
      <c r="I83" s="123" t="str">
        <f t="shared" si="11"/>
        <v>　</v>
      </c>
      <c r="J83" t="str">
        <f t="shared" si="8"/>
        <v>　</v>
      </c>
      <c r="K83" t="str">
        <f t="shared" si="6"/>
        <v/>
      </c>
    </row>
    <row r="84" spans="1:11">
      <c r="A84" s="217">
        <f>'①設計シート（同時使用率３F）'!A84</f>
        <v>0</v>
      </c>
      <c r="B84" s="301">
        <f>'①設計シート（同時使用率３F）'!B84:C84</f>
        <v>0</v>
      </c>
      <c r="C84" s="302"/>
      <c r="D84" s="42"/>
      <c r="E84" s="4"/>
      <c r="F84" s="2" t="str">
        <f t="shared" si="9"/>
        <v/>
      </c>
      <c r="G84" s="2" t="str">
        <f t="shared" si="10"/>
        <v xml:space="preserve"> </v>
      </c>
      <c r="H84" s="218" t="str">
        <f>'①設計シート（同時使用率３F）'!H84</f>
        <v/>
      </c>
      <c r="I84" s="123" t="str">
        <f t="shared" si="11"/>
        <v>　</v>
      </c>
      <c r="J84" t="str">
        <f t="shared" si="8"/>
        <v>　</v>
      </c>
      <c r="K84" t="str">
        <f t="shared" si="6"/>
        <v/>
      </c>
    </row>
    <row r="85" spans="1:11">
      <c r="A85" s="217">
        <f>'①設計シート（同時使用率３F）'!A85</f>
        <v>0</v>
      </c>
      <c r="B85" s="301">
        <f>'①設計シート（同時使用率３F）'!B85:C85</f>
        <v>0</v>
      </c>
      <c r="C85" s="302"/>
      <c r="D85" s="42"/>
      <c r="E85" s="4"/>
      <c r="F85" s="2" t="str">
        <f t="shared" si="9"/>
        <v/>
      </c>
      <c r="G85" s="2" t="str">
        <f t="shared" si="10"/>
        <v xml:space="preserve"> </v>
      </c>
      <c r="H85" s="59" t="str">
        <f>'①設計シート（同時使用率３F）'!H85</f>
        <v/>
      </c>
      <c r="I85" s="114" t="str">
        <f>IF(D85&lt;=50,J85,K85)</f>
        <v>　</v>
      </c>
      <c r="J85" t="str">
        <f t="shared" si="8"/>
        <v>　</v>
      </c>
      <c r="K85" t="str">
        <f t="shared" si="6"/>
        <v/>
      </c>
    </row>
    <row r="86" spans="1:11">
      <c r="A86" s="67"/>
      <c r="B86" s="2" t="s">
        <v>86</v>
      </c>
      <c r="C86" s="2"/>
      <c r="D86" s="218">
        <f>'①設計シート（同時使用率３F）'!D86</f>
        <v>0</v>
      </c>
      <c r="E86" s="30"/>
      <c r="F86" s="30" t="str">
        <f t="shared" si="9"/>
        <v/>
      </c>
      <c r="G86" s="30"/>
      <c r="H86" s="242" t="str">
        <f>'①設計シート（同時使用率３F）'!H86</f>
        <v/>
      </c>
      <c r="I86" s="123" t="str">
        <f>IF(D86&gt;0,1,"")</f>
        <v/>
      </c>
    </row>
    <row r="87" spans="1:11">
      <c r="A87" s="67"/>
      <c r="B87" s="2" t="s">
        <v>76</v>
      </c>
      <c r="C87" s="2"/>
      <c r="D87" s="3"/>
      <c r="E87" s="2"/>
      <c r="F87" s="2"/>
      <c r="G87" s="151"/>
      <c r="H87" s="152"/>
      <c r="I87" s="114">
        <f>'①設計シート（同時使用率３F）'!I87</f>
        <v>0</v>
      </c>
      <c r="J87" s="18" t="str">
        <f>IF(I87&gt;10,"エラー　制限高超え","")</f>
        <v/>
      </c>
    </row>
    <row r="88" spans="1:11">
      <c r="A88" s="67"/>
      <c r="B88" s="14" t="s">
        <v>186</v>
      </c>
      <c r="C88" s="16"/>
      <c r="D88" s="15"/>
      <c r="E88" s="16"/>
      <c r="F88" s="16"/>
      <c r="G88" s="16"/>
      <c r="H88" s="17"/>
      <c r="I88" s="114">
        <f>'①設計シート（同時使用率３F）'!I88</f>
        <v>0</v>
      </c>
      <c r="J88" s="8"/>
      <c r="K88" s="8"/>
    </row>
    <row r="89" spans="1:11" ht="14.25" thickBot="1">
      <c r="A89" s="72"/>
      <c r="B89" s="135" t="s">
        <v>125</v>
      </c>
      <c r="C89" s="136"/>
      <c r="D89" s="136"/>
      <c r="E89" s="136"/>
      <c r="F89" s="136"/>
      <c r="G89" s="136"/>
      <c r="H89" s="137"/>
      <c r="I89" s="116" t="str">
        <f>IF(SUM(I65:I88),SUM(I65:I88)," ")</f>
        <v xml:space="preserve"> </v>
      </c>
    </row>
    <row r="90" spans="1:11" ht="15" thickBot="1">
      <c r="A90" s="130" t="s">
        <v>193</v>
      </c>
    </row>
    <row r="91" spans="1:11" ht="13.5" customHeight="1">
      <c r="A91" s="262" t="s">
        <v>55</v>
      </c>
      <c r="B91" s="252" t="s">
        <v>153</v>
      </c>
      <c r="C91" s="264"/>
      <c r="D91" s="147" t="s">
        <v>32</v>
      </c>
      <c r="E91" s="112" t="s">
        <v>45</v>
      </c>
      <c r="F91" s="112" t="s">
        <v>77</v>
      </c>
      <c r="G91" s="112" t="s">
        <v>43</v>
      </c>
      <c r="H91" s="112" t="s">
        <v>152</v>
      </c>
      <c r="I91" s="66" t="s">
        <v>44</v>
      </c>
      <c r="J91" s="245" t="s">
        <v>162</v>
      </c>
      <c r="K91" s="245" t="s">
        <v>161</v>
      </c>
    </row>
    <row r="92" spans="1:11" ht="14.25" thickBot="1">
      <c r="A92" s="263"/>
      <c r="B92" s="254"/>
      <c r="C92" s="265"/>
      <c r="D92" s="148" t="s">
        <v>83</v>
      </c>
      <c r="E92" s="125" t="s">
        <v>156</v>
      </c>
      <c r="F92" s="125" t="s">
        <v>82</v>
      </c>
      <c r="G92" s="125" t="s">
        <v>81</v>
      </c>
      <c r="H92" s="125" t="s">
        <v>85</v>
      </c>
      <c r="I92" s="126" t="s">
        <v>84</v>
      </c>
      <c r="J92" s="245"/>
      <c r="K92" s="245"/>
    </row>
    <row r="93" spans="1:11">
      <c r="A93" s="217">
        <f>'①設計シート（同時使用率３F）'!A93</f>
        <v>0</v>
      </c>
      <c r="B93" s="266" t="s">
        <v>46</v>
      </c>
      <c r="C93" s="267"/>
      <c r="D93" s="80"/>
      <c r="E93" s="41"/>
      <c r="F93" s="30" t="str">
        <f t="shared" ref="F93:F103" si="12">IFERROR((E93/1000/60)/((D93/1000)^2*PI()/4),"  ")</f>
        <v xml:space="preserve">  </v>
      </c>
      <c r="G93" s="30" t="str">
        <f t="shared" ref="G93:G103" si="13">IFERROR(I93/H93*1000," ")</f>
        <v xml:space="preserve"> </v>
      </c>
      <c r="H93" s="218">
        <f>'①設計シート（同時使用率３F）'!H93</f>
        <v>0</v>
      </c>
      <c r="I93" s="123" t="str">
        <f>IF(D93&lt;=50,J93,K93)</f>
        <v>　</v>
      </c>
      <c r="J93" t="str">
        <f>IFERROR(((0.0126+(0.01739-0.1087*(D93/1000))/SQRT(F93))*H93/(D93/1000)*F93^2/(2*9.8)),"　")</f>
        <v>　</v>
      </c>
      <c r="K93" t="str">
        <f t="shared" ref="K93:K103" si="14">IFERROR(10.666*(140^(-1.85) )*((D93/1000)^(-4.87))*(((E93/1000)/60)^1.85)*H93,"")</f>
        <v/>
      </c>
    </row>
    <row r="94" spans="1:11">
      <c r="A94" s="217">
        <f>'①設計シート（同時使用率３F）'!A94</f>
        <v>0</v>
      </c>
      <c r="B94" s="268" t="s">
        <v>47</v>
      </c>
      <c r="C94" s="269"/>
      <c r="D94" s="75"/>
      <c r="E94" s="4"/>
      <c r="F94" s="2" t="str">
        <f t="shared" si="12"/>
        <v xml:space="preserve">  </v>
      </c>
      <c r="G94" s="2" t="str">
        <f t="shared" si="13"/>
        <v xml:space="preserve"> </v>
      </c>
      <c r="H94" s="218">
        <f>'①設計シート（同時使用率３F）'!H94</f>
        <v>0</v>
      </c>
      <c r="I94" s="114" t="str">
        <f t="shared" ref="I94:I101" si="15">IF(D94&lt;=50,J94,K94)</f>
        <v>　</v>
      </c>
      <c r="J94" t="str">
        <f t="shared" ref="J94:J103" si="16">IFERROR(((0.0126+(0.01739-0.1087*(D94/1000))/SQRT(F94))*H94/(D94/1000)*F94^2/(2*9.8)),"　")</f>
        <v>　</v>
      </c>
      <c r="K94" t="str">
        <f t="shared" si="14"/>
        <v/>
      </c>
    </row>
    <row r="95" spans="1:11">
      <c r="A95" s="217">
        <f>'①設計シート（同時使用率３F）'!A95</f>
        <v>0</v>
      </c>
      <c r="B95" s="268" t="s">
        <v>48</v>
      </c>
      <c r="C95" s="269"/>
      <c r="D95" s="75"/>
      <c r="E95" s="4"/>
      <c r="F95" s="2" t="str">
        <f t="shared" si="12"/>
        <v xml:space="preserve">  </v>
      </c>
      <c r="G95" s="2" t="str">
        <f t="shared" si="13"/>
        <v xml:space="preserve"> </v>
      </c>
      <c r="H95" s="218">
        <f>'①設計シート（同時使用率３F）'!H95</f>
        <v>0</v>
      </c>
      <c r="I95" s="114" t="str">
        <f t="shared" si="15"/>
        <v>　</v>
      </c>
      <c r="J95" t="str">
        <f t="shared" si="16"/>
        <v>　</v>
      </c>
      <c r="K95" t="str">
        <f t="shared" si="14"/>
        <v/>
      </c>
    </row>
    <row r="96" spans="1:11">
      <c r="A96" s="217">
        <f>'①設計シート（同時使用率３F）'!A96</f>
        <v>0</v>
      </c>
      <c r="B96" s="268" t="s">
        <v>49</v>
      </c>
      <c r="C96" s="269"/>
      <c r="D96" s="75"/>
      <c r="E96" s="4"/>
      <c r="F96" s="2" t="str">
        <f t="shared" si="12"/>
        <v xml:space="preserve">  </v>
      </c>
      <c r="G96" s="2" t="str">
        <f t="shared" si="13"/>
        <v xml:space="preserve"> </v>
      </c>
      <c r="H96" s="218">
        <f>'①設計シート（同時使用率３F）'!H96</f>
        <v>0</v>
      </c>
      <c r="I96" s="114" t="str">
        <f t="shared" si="15"/>
        <v>　</v>
      </c>
      <c r="J96" t="str">
        <f t="shared" si="16"/>
        <v>　</v>
      </c>
      <c r="K96" t="str">
        <f t="shared" si="14"/>
        <v/>
      </c>
    </row>
    <row r="97" spans="1:11">
      <c r="A97" s="217">
        <f>'①設計シート（同時使用率３F）'!A97</f>
        <v>0</v>
      </c>
      <c r="B97" s="268" t="s">
        <v>50</v>
      </c>
      <c r="C97" s="269"/>
      <c r="D97" s="75"/>
      <c r="E97" s="4"/>
      <c r="F97" s="2" t="str">
        <f t="shared" si="12"/>
        <v xml:space="preserve">  </v>
      </c>
      <c r="G97" s="2" t="str">
        <f t="shared" si="13"/>
        <v xml:space="preserve"> </v>
      </c>
      <c r="H97" s="218">
        <f>'①設計シート（同時使用率３F）'!H97</f>
        <v>0</v>
      </c>
      <c r="I97" s="114" t="str">
        <f t="shared" si="15"/>
        <v>　</v>
      </c>
      <c r="J97" t="str">
        <f t="shared" si="16"/>
        <v>　</v>
      </c>
      <c r="K97" t="str">
        <f t="shared" si="14"/>
        <v/>
      </c>
    </row>
    <row r="98" spans="1:11">
      <c r="A98" s="217">
        <f>'①設計シート（同時使用率３F）'!A98</f>
        <v>0</v>
      </c>
      <c r="B98" s="268" t="s">
        <v>51</v>
      </c>
      <c r="C98" s="269"/>
      <c r="D98" s="75"/>
      <c r="E98" s="4"/>
      <c r="F98" s="2" t="str">
        <f t="shared" si="12"/>
        <v xml:space="preserve">  </v>
      </c>
      <c r="G98" s="2" t="str">
        <f t="shared" si="13"/>
        <v xml:space="preserve"> </v>
      </c>
      <c r="H98" s="218">
        <f>'①設計シート（同時使用率３F）'!H98</f>
        <v>0</v>
      </c>
      <c r="I98" s="114" t="str">
        <f t="shared" si="15"/>
        <v>　</v>
      </c>
      <c r="J98" t="str">
        <f t="shared" si="16"/>
        <v>　</v>
      </c>
      <c r="K98" t="str">
        <f t="shared" si="14"/>
        <v/>
      </c>
    </row>
    <row r="99" spans="1:11">
      <c r="A99" s="217">
        <f>'①設計シート（同時使用率３F）'!A99</f>
        <v>0</v>
      </c>
      <c r="B99" s="268" t="s">
        <v>52</v>
      </c>
      <c r="C99" s="269"/>
      <c r="D99" s="75"/>
      <c r="E99" s="4"/>
      <c r="F99" s="2" t="str">
        <f t="shared" si="12"/>
        <v xml:space="preserve">  </v>
      </c>
      <c r="G99" s="2" t="str">
        <f t="shared" si="13"/>
        <v xml:space="preserve"> </v>
      </c>
      <c r="H99" s="218">
        <f>'①設計シート（同時使用率３F）'!H99</f>
        <v>0</v>
      </c>
      <c r="I99" s="114" t="str">
        <f t="shared" si="15"/>
        <v>　</v>
      </c>
      <c r="J99" t="str">
        <f t="shared" si="16"/>
        <v>　</v>
      </c>
      <c r="K99" t="str">
        <f t="shared" si="14"/>
        <v/>
      </c>
    </row>
    <row r="100" spans="1:11">
      <c r="A100" s="217">
        <f>'①設計シート（同時使用率３F）'!A100</f>
        <v>0</v>
      </c>
      <c r="B100" s="268" t="s">
        <v>53</v>
      </c>
      <c r="C100" s="269"/>
      <c r="D100" s="75"/>
      <c r="E100" s="4"/>
      <c r="F100" s="2" t="str">
        <f t="shared" si="12"/>
        <v xml:space="preserve">  </v>
      </c>
      <c r="G100" s="2" t="str">
        <f t="shared" si="13"/>
        <v xml:space="preserve"> </v>
      </c>
      <c r="H100" s="218">
        <f>'①設計シート（同時使用率３F）'!H100</f>
        <v>0</v>
      </c>
      <c r="I100" s="114" t="str">
        <f t="shared" si="15"/>
        <v>　</v>
      </c>
      <c r="J100" t="str">
        <f t="shared" si="16"/>
        <v>　</v>
      </c>
      <c r="K100" t="str">
        <f t="shared" si="14"/>
        <v/>
      </c>
    </row>
    <row r="101" spans="1:11">
      <c r="A101" s="217">
        <f>'①設計シート（同時使用率３F）'!A101</f>
        <v>0</v>
      </c>
      <c r="B101" s="268" t="s">
        <v>54</v>
      </c>
      <c r="C101" s="269"/>
      <c r="D101" s="75"/>
      <c r="E101" s="4"/>
      <c r="F101" s="2" t="str">
        <f t="shared" si="12"/>
        <v xml:space="preserve">  </v>
      </c>
      <c r="G101" s="2" t="str">
        <f t="shared" si="13"/>
        <v xml:space="preserve"> </v>
      </c>
      <c r="H101" s="218">
        <f>'①設計シート（同時使用率３F）'!H101</f>
        <v>0</v>
      </c>
      <c r="I101" s="114" t="str">
        <f t="shared" si="15"/>
        <v>　</v>
      </c>
      <c r="J101" t="str">
        <f t="shared" si="16"/>
        <v>　</v>
      </c>
      <c r="K101" t="str">
        <f t="shared" si="14"/>
        <v/>
      </c>
    </row>
    <row r="102" spans="1:11">
      <c r="A102" s="217">
        <f>'①設計シート（同時使用率３F）'!A102</f>
        <v>0</v>
      </c>
      <c r="B102" s="258" t="s">
        <v>175</v>
      </c>
      <c r="C102" s="259"/>
      <c r="D102" s="80"/>
      <c r="E102" s="41"/>
      <c r="F102" s="30" t="str">
        <f t="shared" si="12"/>
        <v xml:space="preserve">  </v>
      </c>
      <c r="G102" s="30" t="str">
        <f t="shared" si="13"/>
        <v xml:space="preserve"> </v>
      </c>
      <c r="H102" s="218">
        <f>'①設計シート（同時使用率３F）'!H102</f>
        <v>0</v>
      </c>
      <c r="I102" s="123" t="str">
        <f>IF(D102&lt;=50,J102,K102)</f>
        <v>　</v>
      </c>
      <c r="J102" t="str">
        <f t="shared" si="16"/>
        <v>　</v>
      </c>
      <c r="K102" t="str">
        <f t="shared" si="14"/>
        <v/>
      </c>
    </row>
    <row r="103" spans="1:11" ht="14.25" thickBot="1">
      <c r="A103" s="219">
        <f>'①設計シート（同時使用率３F）'!A103</f>
        <v>0</v>
      </c>
      <c r="B103" s="260" t="s">
        <v>176</v>
      </c>
      <c r="C103" s="261"/>
      <c r="D103" s="75"/>
      <c r="E103" s="4"/>
      <c r="F103" s="26" t="str">
        <f t="shared" si="12"/>
        <v xml:space="preserve">  </v>
      </c>
      <c r="G103" s="26" t="str">
        <f t="shared" si="13"/>
        <v xml:space="preserve"> </v>
      </c>
      <c r="H103" s="218">
        <f>'①設計シート（同時使用率３F）'!H103</f>
        <v>0</v>
      </c>
      <c r="I103" s="114" t="str">
        <f t="shared" ref="I103" si="17">IF(D103&lt;=50,J103,K103)</f>
        <v>　</v>
      </c>
      <c r="J103" t="str">
        <f t="shared" si="16"/>
        <v>　</v>
      </c>
      <c r="K103" t="str">
        <f t="shared" si="14"/>
        <v/>
      </c>
    </row>
    <row r="104" spans="1:11" ht="14.25" thickBot="1">
      <c r="A104" s="248" t="s">
        <v>57</v>
      </c>
      <c r="B104" s="249"/>
      <c r="C104" s="249"/>
      <c r="D104" s="250"/>
      <c r="E104" s="250"/>
      <c r="F104" s="250"/>
      <c r="G104" s="250"/>
      <c r="H104" s="251"/>
      <c r="I104" s="116" t="str">
        <f>IF(SUM(I93:I103),SUM(I93:I103)," ")</f>
        <v xml:space="preserve"> </v>
      </c>
      <c r="K104" t="str">
        <f>IFERROR(10.666*140^(-1.85) *(D104/1000)^(-4.87)*E104^1.85*H104,"")</f>
        <v/>
      </c>
    </row>
    <row r="105" spans="1:11">
      <c r="A105" s="8"/>
    </row>
    <row r="106" spans="1:11" ht="15" thickBot="1">
      <c r="A106" s="131" t="s">
        <v>194</v>
      </c>
      <c r="C106" s="192" t="s">
        <v>230</v>
      </c>
    </row>
    <row r="107" spans="1:11">
      <c r="A107" s="262" t="s">
        <v>55</v>
      </c>
      <c r="B107" s="252" t="s">
        <v>75</v>
      </c>
      <c r="C107" s="253"/>
      <c r="D107" s="112" t="s">
        <v>126</v>
      </c>
      <c r="E107" s="112" t="s">
        <v>45</v>
      </c>
      <c r="F107" s="112" t="s">
        <v>77</v>
      </c>
      <c r="G107" s="112" t="s">
        <v>43</v>
      </c>
      <c r="H107" s="112" t="s">
        <v>66</v>
      </c>
      <c r="I107" s="66" t="s">
        <v>44</v>
      </c>
    </row>
    <row r="108" spans="1:11" ht="14.25" thickBot="1">
      <c r="A108" s="263"/>
      <c r="B108" s="254"/>
      <c r="C108" s="255"/>
      <c r="D108" s="125" t="s">
        <v>83</v>
      </c>
      <c r="E108" s="125" t="s">
        <v>156</v>
      </c>
      <c r="F108" s="125" t="s">
        <v>82</v>
      </c>
      <c r="G108" s="125" t="s">
        <v>81</v>
      </c>
      <c r="H108" s="125" t="s">
        <v>85</v>
      </c>
      <c r="I108" s="126" t="s">
        <v>84</v>
      </c>
    </row>
    <row r="109" spans="1:11">
      <c r="A109" s="217">
        <f>'①設計シート（同時使用率３F）'!A109</f>
        <v>0</v>
      </c>
      <c r="B109" s="301">
        <f>'①設計シート（同時使用率３F）'!B109:C109</f>
        <v>0</v>
      </c>
      <c r="C109" s="302"/>
      <c r="D109" s="41"/>
      <c r="E109" s="41"/>
      <c r="F109" s="30" t="str">
        <f t="shared" ref="F109:F130" si="18">IFERROR((E109/1000/60)/((D109/1000)^2*PI()/4),"")</f>
        <v/>
      </c>
      <c r="G109" s="30" t="str">
        <f t="shared" ref="G109:G129" si="19">IFERROR(I109/H109*1000," ")</f>
        <v xml:space="preserve"> </v>
      </c>
      <c r="H109" s="218" t="str">
        <f>'①設計シート（同時使用率３F）'!H109</f>
        <v/>
      </c>
      <c r="I109" s="123" t="str">
        <f>IF(D109&lt;=50,J109,K109)</f>
        <v>　</v>
      </c>
      <c r="J109" t="str">
        <f>IFERROR(((0.0126+(0.01739-0.1087*(D109/1000))/SQRT(F109))*H109/(D109/1000)*F109^2/(2*9.8)),"　")</f>
        <v>　</v>
      </c>
      <c r="K109" t="str">
        <f>IFERROR(10.666*(140^(-1.85) )*((D109/1000)^(-4.87))*(((E109/1000)/60)^1.85)*H109,"")</f>
        <v/>
      </c>
    </row>
    <row r="110" spans="1:11">
      <c r="A110" s="217">
        <f>'①設計シート（同時使用率３F）'!A110</f>
        <v>0</v>
      </c>
      <c r="B110" s="301">
        <f>'①設計シート（同時使用率３F）'!B110:C110</f>
        <v>0</v>
      </c>
      <c r="C110" s="302"/>
      <c r="D110" s="4"/>
      <c r="E110" s="4"/>
      <c r="F110" s="2" t="str">
        <f t="shared" si="18"/>
        <v/>
      </c>
      <c r="G110" s="2" t="str">
        <f t="shared" si="19"/>
        <v xml:space="preserve"> </v>
      </c>
      <c r="H110" s="218" t="str">
        <f>'①設計シート（同時使用率３F）'!H110</f>
        <v/>
      </c>
      <c r="I110" s="123" t="str">
        <f t="shared" ref="I110:I129" si="20">IF(D110&lt;=50,J110,K110)</f>
        <v>　</v>
      </c>
      <c r="J110" t="str">
        <f t="shared" ref="J110:J129" si="21">IFERROR(((0.0126+(0.01739-0.1087*(D110/1000))/SQRT(F110))*H110/(D110/1000)*F110^2/(2*9.8)),"　")</f>
        <v>　</v>
      </c>
      <c r="K110" t="str">
        <f t="shared" ref="K110:K129" si="22">IFERROR(10.666*(140^(-1.85) )*((D110/1000)^(-4.87))*(((E110/1000)/60)^1.85)*H110,"")</f>
        <v/>
      </c>
    </row>
    <row r="111" spans="1:11">
      <c r="A111" s="217">
        <f>'①設計シート（同時使用率３F）'!A111</f>
        <v>0</v>
      </c>
      <c r="B111" s="301">
        <f>'①設計シート（同時使用率３F）'!B111:C111</f>
        <v>0</v>
      </c>
      <c r="C111" s="302"/>
      <c r="D111" s="4"/>
      <c r="E111" s="4"/>
      <c r="F111" s="2" t="str">
        <f t="shared" si="18"/>
        <v/>
      </c>
      <c r="G111" s="2" t="str">
        <f t="shared" si="19"/>
        <v xml:space="preserve"> </v>
      </c>
      <c r="H111" s="218" t="str">
        <f>'①設計シート（同時使用率３F）'!H111</f>
        <v/>
      </c>
      <c r="I111" s="123" t="str">
        <f t="shared" si="20"/>
        <v>　</v>
      </c>
      <c r="J111" t="str">
        <f t="shared" si="21"/>
        <v>　</v>
      </c>
      <c r="K111" t="str">
        <f t="shared" si="22"/>
        <v/>
      </c>
    </row>
    <row r="112" spans="1:11">
      <c r="A112" s="217">
        <f>'①設計シート（同時使用率３F）'!A112</f>
        <v>0</v>
      </c>
      <c r="B112" s="301">
        <f>'①設計シート（同時使用率３F）'!B112:C112</f>
        <v>0</v>
      </c>
      <c r="C112" s="302"/>
      <c r="D112" s="4"/>
      <c r="E112" s="4"/>
      <c r="F112" s="2" t="str">
        <f t="shared" si="18"/>
        <v/>
      </c>
      <c r="G112" s="2" t="str">
        <f t="shared" si="19"/>
        <v xml:space="preserve"> </v>
      </c>
      <c r="H112" s="218" t="str">
        <f>'①設計シート（同時使用率３F）'!H112</f>
        <v/>
      </c>
      <c r="I112" s="123" t="str">
        <f t="shared" si="20"/>
        <v>　</v>
      </c>
      <c r="J112" t="str">
        <f t="shared" si="21"/>
        <v>　</v>
      </c>
      <c r="K112" t="str">
        <f t="shared" si="22"/>
        <v/>
      </c>
    </row>
    <row r="113" spans="1:11">
      <c r="A113" s="217">
        <f>'①設計シート（同時使用率３F）'!A113</f>
        <v>0</v>
      </c>
      <c r="B113" s="301">
        <f>'①設計シート（同時使用率３F）'!B113:C113</f>
        <v>0</v>
      </c>
      <c r="C113" s="302"/>
      <c r="D113" s="4"/>
      <c r="E113" s="4"/>
      <c r="F113" s="2" t="str">
        <f t="shared" si="18"/>
        <v/>
      </c>
      <c r="G113" s="2" t="str">
        <f t="shared" si="19"/>
        <v xml:space="preserve"> </v>
      </c>
      <c r="H113" s="218" t="str">
        <f>'①設計シート（同時使用率３F）'!H113</f>
        <v/>
      </c>
      <c r="I113" s="123" t="str">
        <f t="shared" si="20"/>
        <v>　</v>
      </c>
      <c r="J113" t="str">
        <f t="shared" si="21"/>
        <v>　</v>
      </c>
      <c r="K113" t="str">
        <f t="shared" si="22"/>
        <v/>
      </c>
    </row>
    <row r="114" spans="1:11">
      <c r="A114" s="217">
        <f>'①設計シート（同時使用率３F）'!A114</f>
        <v>0</v>
      </c>
      <c r="B114" s="301">
        <f>'①設計シート（同時使用率３F）'!B114:C114</f>
        <v>0</v>
      </c>
      <c r="C114" s="302"/>
      <c r="D114" s="4"/>
      <c r="E114" s="4"/>
      <c r="F114" s="2" t="str">
        <f t="shared" si="18"/>
        <v/>
      </c>
      <c r="G114" s="2" t="str">
        <f t="shared" si="19"/>
        <v xml:space="preserve"> </v>
      </c>
      <c r="H114" s="218" t="str">
        <f>'①設計シート（同時使用率３F）'!H114</f>
        <v/>
      </c>
      <c r="I114" s="123" t="str">
        <f t="shared" si="20"/>
        <v>　</v>
      </c>
      <c r="J114" t="str">
        <f t="shared" si="21"/>
        <v>　</v>
      </c>
      <c r="K114" t="str">
        <f t="shared" si="22"/>
        <v/>
      </c>
    </row>
    <row r="115" spans="1:11">
      <c r="A115" s="217">
        <f>'①設計シート（同時使用率３F）'!A115</f>
        <v>0</v>
      </c>
      <c r="B115" s="301">
        <f>'①設計シート（同時使用率３F）'!B115:C115</f>
        <v>0</v>
      </c>
      <c r="C115" s="302"/>
      <c r="D115" s="4"/>
      <c r="E115" s="4"/>
      <c r="F115" s="2" t="str">
        <f t="shared" si="18"/>
        <v/>
      </c>
      <c r="G115" s="2" t="str">
        <f t="shared" si="19"/>
        <v xml:space="preserve"> </v>
      </c>
      <c r="H115" s="218" t="str">
        <f>'①設計シート（同時使用率３F）'!H115</f>
        <v/>
      </c>
      <c r="I115" s="123" t="str">
        <f t="shared" si="20"/>
        <v>　</v>
      </c>
      <c r="J115" t="str">
        <f t="shared" si="21"/>
        <v>　</v>
      </c>
      <c r="K115" t="str">
        <f t="shared" si="22"/>
        <v/>
      </c>
    </row>
    <row r="116" spans="1:11">
      <c r="A116" s="217">
        <f>'①設計シート（同時使用率３F）'!A116</f>
        <v>0</v>
      </c>
      <c r="B116" s="301">
        <f>'①設計シート（同時使用率３F）'!B116:C116</f>
        <v>0</v>
      </c>
      <c r="C116" s="302"/>
      <c r="D116" s="4"/>
      <c r="E116" s="4"/>
      <c r="F116" s="2" t="str">
        <f t="shared" si="18"/>
        <v/>
      </c>
      <c r="G116" s="2" t="str">
        <f t="shared" si="19"/>
        <v xml:space="preserve"> </v>
      </c>
      <c r="H116" s="218" t="str">
        <f>'①設計シート（同時使用率３F）'!H116</f>
        <v/>
      </c>
      <c r="I116" s="123" t="str">
        <f t="shared" si="20"/>
        <v>　</v>
      </c>
      <c r="J116" t="str">
        <f t="shared" si="21"/>
        <v>　</v>
      </c>
      <c r="K116" t="str">
        <f t="shared" si="22"/>
        <v/>
      </c>
    </row>
    <row r="117" spans="1:11">
      <c r="A117" s="217">
        <f>'①設計シート（同時使用率３F）'!A117</f>
        <v>0</v>
      </c>
      <c r="B117" s="301">
        <f>'①設計シート（同時使用率３F）'!B117:C117</f>
        <v>0</v>
      </c>
      <c r="C117" s="302"/>
      <c r="D117" s="4"/>
      <c r="E117" s="4"/>
      <c r="F117" s="2" t="str">
        <f t="shared" si="18"/>
        <v/>
      </c>
      <c r="G117" s="2" t="str">
        <f t="shared" si="19"/>
        <v xml:space="preserve"> </v>
      </c>
      <c r="H117" s="218" t="str">
        <f>'①設計シート（同時使用率３F）'!H117</f>
        <v/>
      </c>
      <c r="I117" s="123" t="str">
        <f t="shared" si="20"/>
        <v>　</v>
      </c>
      <c r="J117" t="str">
        <f t="shared" si="21"/>
        <v>　</v>
      </c>
      <c r="K117" t="str">
        <f t="shared" si="22"/>
        <v/>
      </c>
    </row>
    <row r="118" spans="1:11">
      <c r="A118" s="217">
        <f>'①設計シート（同時使用率３F）'!A118</f>
        <v>0</v>
      </c>
      <c r="B118" s="301">
        <f>'①設計シート（同時使用率３F）'!B118:C118</f>
        <v>0</v>
      </c>
      <c r="C118" s="302"/>
      <c r="D118" s="4"/>
      <c r="E118" s="4"/>
      <c r="F118" s="2" t="str">
        <f t="shared" si="18"/>
        <v/>
      </c>
      <c r="G118" s="2" t="str">
        <f t="shared" si="19"/>
        <v xml:space="preserve"> </v>
      </c>
      <c r="H118" s="218" t="str">
        <f>'①設計シート（同時使用率３F）'!H118</f>
        <v/>
      </c>
      <c r="I118" s="123" t="str">
        <f t="shared" si="20"/>
        <v>　</v>
      </c>
      <c r="J118" t="str">
        <f t="shared" si="21"/>
        <v>　</v>
      </c>
      <c r="K118" t="str">
        <f t="shared" si="22"/>
        <v/>
      </c>
    </row>
    <row r="119" spans="1:11">
      <c r="A119" s="217">
        <f>'①設計シート（同時使用率３F）'!A119</f>
        <v>0</v>
      </c>
      <c r="B119" s="301">
        <f>'①設計シート（同時使用率３F）'!B119:C119</f>
        <v>0</v>
      </c>
      <c r="C119" s="302"/>
      <c r="D119" s="4"/>
      <c r="E119" s="4"/>
      <c r="F119" s="2" t="str">
        <f t="shared" si="18"/>
        <v/>
      </c>
      <c r="G119" s="2" t="str">
        <f t="shared" si="19"/>
        <v xml:space="preserve"> </v>
      </c>
      <c r="H119" s="218" t="str">
        <f>'①設計シート（同時使用率３F）'!H119</f>
        <v/>
      </c>
      <c r="I119" s="123" t="str">
        <f t="shared" si="20"/>
        <v>　</v>
      </c>
      <c r="J119" t="str">
        <f t="shared" si="21"/>
        <v>　</v>
      </c>
      <c r="K119" t="str">
        <f t="shared" si="22"/>
        <v/>
      </c>
    </row>
    <row r="120" spans="1:11">
      <c r="A120" s="217">
        <f>'①設計シート（同時使用率３F）'!A120</f>
        <v>0</v>
      </c>
      <c r="B120" s="301">
        <f>'①設計シート（同時使用率３F）'!B120:C120</f>
        <v>0</v>
      </c>
      <c r="C120" s="302"/>
      <c r="D120" s="29"/>
      <c r="E120" s="28"/>
      <c r="F120" s="26" t="str">
        <f t="shared" si="18"/>
        <v/>
      </c>
      <c r="G120" s="26" t="str">
        <f t="shared" si="19"/>
        <v xml:space="preserve"> </v>
      </c>
      <c r="H120" s="218" t="str">
        <f>'①設計シート（同時使用率３F）'!H120</f>
        <v/>
      </c>
      <c r="I120" s="123" t="str">
        <f t="shared" si="20"/>
        <v>　</v>
      </c>
      <c r="J120" t="str">
        <f t="shared" si="21"/>
        <v>　</v>
      </c>
      <c r="K120" t="str">
        <f t="shared" si="22"/>
        <v/>
      </c>
    </row>
    <row r="121" spans="1:11">
      <c r="A121" s="217">
        <f>'①設計シート（同時使用率３F）'!A121</f>
        <v>0</v>
      </c>
      <c r="B121" s="301">
        <f>'①設計シート（同時使用率３F）'!B121:C121</f>
        <v>0</v>
      </c>
      <c r="C121" s="302"/>
      <c r="D121" s="4"/>
      <c r="E121" s="4"/>
      <c r="F121" s="2" t="str">
        <f t="shared" si="18"/>
        <v/>
      </c>
      <c r="G121" s="2" t="str">
        <f t="shared" si="19"/>
        <v xml:space="preserve"> </v>
      </c>
      <c r="H121" s="218" t="str">
        <f>'①設計シート（同時使用率３F）'!H121</f>
        <v/>
      </c>
      <c r="I121" s="123" t="str">
        <f t="shared" si="20"/>
        <v>　</v>
      </c>
      <c r="J121" t="str">
        <f t="shared" si="21"/>
        <v>　</v>
      </c>
      <c r="K121" t="str">
        <f t="shared" si="22"/>
        <v/>
      </c>
    </row>
    <row r="122" spans="1:11">
      <c r="A122" s="217">
        <f>'①設計シート（同時使用率３F）'!A122</f>
        <v>0</v>
      </c>
      <c r="B122" s="301">
        <f>'①設計シート（同時使用率３F）'!B122:C122</f>
        <v>0</v>
      </c>
      <c r="C122" s="302"/>
      <c r="D122" s="4"/>
      <c r="E122" s="4"/>
      <c r="F122" s="2" t="str">
        <f t="shared" si="18"/>
        <v/>
      </c>
      <c r="G122" s="2" t="str">
        <f t="shared" si="19"/>
        <v xml:space="preserve"> </v>
      </c>
      <c r="H122" s="218" t="str">
        <f>'①設計シート（同時使用率３F）'!H122</f>
        <v/>
      </c>
      <c r="I122" s="123" t="str">
        <f t="shared" si="20"/>
        <v>　</v>
      </c>
      <c r="J122" t="str">
        <f t="shared" si="21"/>
        <v>　</v>
      </c>
      <c r="K122" t="str">
        <f t="shared" si="22"/>
        <v/>
      </c>
    </row>
    <row r="123" spans="1:11">
      <c r="A123" s="217">
        <f>'①設計シート（同時使用率３F）'!A123</f>
        <v>0</v>
      </c>
      <c r="B123" s="301">
        <f>'①設計シート（同時使用率３F）'!B123:C123</f>
        <v>0</v>
      </c>
      <c r="C123" s="302"/>
      <c r="D123" s="42"/>
      <c r="E123" s="4"/>
      <c r="F123" s="2" t="str">
        <f t="shared" si="18"/>
        <v/>
      </c>
      <c r="G123" s="2" t="str">
        <f t="shared" si="19"/>
        <v xml:space="preserve"> </v>
      </c>
      <c r="H123" s="218" t="str">
        <f>'①設計シート（同時使用率３F）'!H123</f>
        <v/>
      </c>
      <c r="I123" s="123" t="str">
        <f t="shared" si="20"/>
        <v>　</v>
      </c>
      <c r="J123" t="str">
        <f t="shared" si="21"/>
        <v>　</v>
      </c>
      <c r="K123" t="str">
        <f t="shared" si="22"/>
        <v/>
      </c>
    </row>
    <row r="124" spans="1:11">
      <c r="A124" s="217">
        <f>'①設計シート（同時使用率３F）'!A124</f>
        <v>0</v>
      </c>
      <c r="B124" s="301">
        <f>'①設計シート（同時使用率３F）'!B124:C124</f>
        <v>0</v>
      </c>
      <c r="C124" s="302"/>
      <c r="D124" s="42"/>
      <c r="E124" s="4"/>
      <c r="F124" s="2" t="str">
        <f t="shared" si="18"/>
        <v/>
      </c>
      <c r="G124" s="2" t="str">
        <f t="shared" si="19"/>
        <v xml:space="preserve"> </v>
      </c>
      <c r="H124" s="218" t="str">
        <f>'①設計シート（同時使用率３F）'!H124</f>
        <v/>
      </c>
      <c r="I124" s="123" t="str">
        <f t="shared" si="20"/>
        <v>　</v>
      </c>
      <c r="J124" t="str">
        <f t="shared" si="21"/>
        <v>　</v>
      </c>
      <c r="K124" t="str">
        <f t="shared" si="22"/>
        <v/>
      </c>
    </row>
    <row r="125" spans="1:11">
      <c r="A125" s="217">
        <f>'①設計シート（同時使用率３F）'!A125</f>
        <v>0</v>
      </c>
      <c r="B125" s="301">
        <f>'①設計シート（同時使用率３F）'!B125:C125</f>
        <v>0</v>
      </c>
      <c r="C125" s="302"/>
      <c r="D125" s="42"/>
      <c r="E125" s="4"/>
      <c r="F125" s="2" t="str">
        <f t="shared" si="18"/>
        <v/>
      </c>
      <c r="G125" s="2" t="str">
        <f t="shared" si="19"/>
        <v xml:space="preserve"> </v>
      </c>
      <c r="H125" s="218" t="str">
        <f>'①設計シート（同時使用率３F）'!H125</f>
        <v/>
      </c>
      <c r="I125" s="123" t="str">
        <f t="shared" si="20"/>
        <v>　</v>
      </c>
      <c r="J125" t="str">
        <f t="shared" si="21"/>
        <v>　</v>
      </c>
      <c r="K125" t="str">
        <f t="shared" si="22"/>
        <v/>
      </c>
    </row>
    <row r="126" spans="1:11">
      <c r="A126" s="217">
        <f>'①設計シート（同時使用率３F）'!A126</f>
        <v>0</v>
      </c>
      <c r="B126" s="301">
        <f>'①設計シート（同時使用率３F）'!B126:C126</f>
        <v>0</v>
      </c>
      <c r="C126" s="302"/>
      <c r="D126" s="42"/>
      <c r="E126" s="4"/>
      <c r="F126" s="2" t="str">
        <f t="shared" si="18"/>
        <v/>
      </c>
      <c r="G126" s="2" t="str">
        <f t="shared" si="19"/>
        <v xml:space="preserve"> </v>
      </c>
      <c r="H126" s="218" t="str">
        <f>'①設計シート（同時使用率３F）'!H126</f>
        <v/>
      </c>
      <c r="I126" s="123" t="str">
        <f t="shared" si="20"/>
        <v>　</v>
      </c>
      <c r="J126" t="str">
        <f t="shared" si="21"/>
        <v>　</v>
      </c>
      <c r="K126" t="str">
        <f t="shared" si="22"/>
        <v/>
      </c>
    </row>
    <row r="127" spans="1:11">
      <c r="A127" s="217">
        <f>'①設計シート（同時使用率３F）'!A127</f>
        <v>0</v>
      </c>
      <c r="B127" s="301">
        <f>'①設計シート（同時使用率３F）'!B127:C127</f>
        <v>0</v>
      </c>
      <c r="C127" s="302"/>
      <c r="D127" s="42"/>
      <c r="E127" s="4"/>
      <c r="F127" s="2" t="str">
        <f t="shared" si="18"/>
        <v/>
      </c>
      <c r="G127" s="2" t="str">
        <f t="shared" si="19"/>
        <v xml:space="preserve"> </v>
      </c>
      <c r="H127" s="218" t="str">
        <f>'①設計シート（同時使用率３F）'!H127</f>
        <v/>
      </c>
      <c r="I127" s="123" t="str">
        <f t="shared" si="20"/>
        <v>　</v>
      </c>
      <c r="J127" t="str">
        <f t="shared" si="21"/>
        <v>　</v>
      </c>
      <c r="K127" t="str">
        <f t="shared" si="22"/>
        <v/>
      </c>
    </row>
    <row r="128" spans="1:11">
      <c r="A128" s="217">
        <f>'①設計シート（同時使用率３F）'!A128</f>
        <v>0</v>
      </c>
      <c r="B128" s="301">
        <f>'①設計シート（同時使用率３F）'!B128:C128</f>
        <v>0</v>
      </c>
      <c r="C128" s="302"/>
      <c r="D128" s="42"/>
      <c r="E128" s="4"/>
      <c r="F128" s="2" t="str">
        <f t="shared" si="18"/>
        <v/>
      </c>
      <c r="G128" s="2" t="str">
        <f t="shared" si="19"/>
        <v xml:space="preserve"> </v>
      </c>
      <c r="H128" s="218" t="str">
        <f>'①設計シート（同時使用率３F）'!H128</f>
        <v/>
      </c>
      <c r="I128" s="123" t="str">
        <f t="shared" si="20"/>
        <v>　</v>
      </c>
      <c r="J128" t="str">
        <f t="shared" si="21"/>
        <v>　</v>
      </c>
      <c r="K128" t="str">
        <f t="shared" si="22"/>
        <v/>
      </c>
    </row>
    <row r="129" spans="1:11">
      <c r="A129" s="217">
        <f>'①設計シート（同時使用率３F）'!A129</f>
        <v>0</v>
      </c>
      <c r="B129" s="301">
        <f>'①設計シート（同時使用率３F）'!B129:C129</f>
        <v>0</v>
      </c>
      <c r="C129" s="302"/>
      <c r="D129" s="42"/>
      <c r="E129" s="4"/>
      <c r="F129" s="2" t="str">
        <f t="shared" si="18"/>
        <v/>
      </c>
      <c r="G129" s="2" t="str">
        <f t="shared" si="19"/>
        <v xml:space="preserve"> </v>
      </c>
      <c r="H129" s="59" t="str">
        <f>'①設計シート（同時使用率３F）'!H129</f>
        <v/>
      </c>
      <c r="I129" s="59" t="str">
        <f t="shared" si="20"/>
        <v>　</v>
      </c>
      <c r="J129" t="str">
        <f t="shared" si="21"/>
        <v>　</v>
      </c>
      <c r="K129" t="str">
        <f t="shared" si="22"/>
        <v/>
      </c>
    </row>
    <row r="130" spans="1:11">
      <c r="A130" s="67"/>
      <c r="B130" s="2" t="s">
        <v>86</v>
      </c>
      <c r="C130" s="2"/>
      <c r="D130" s="218">
        <f>'①設計シート（同時使用率３F）'!D130</f>
        <v>0</v>
      </c>
      <c r="E130" s="30"/>
      <c r="F130" s="30" t="str">
        <f t="shared" si="18"/>
        <v/>
      </c>
      <c r="G130" s="30"/>
      <c r="H130" s="242" t="str">
        <f>'①設計シート（同時使用率３F）'!H130</f>
        <v/>
      </c>
      <c r="I130" s="123" t="str">
        <f>IF(D130&gt;0,1,"")</f>
        <v/>
      </c>
    </row>
    <row r="131" spans="1:11">
      <c r="A131" s="67"/>
      <c r="B131" s="2" t="s">
        <v>76</v>
      </c>
      <c r="C131" s="2"/>
      <c r="D131" s="3"/>
      <c r="E131" s="2"/>
      <c r="F131" s="2"/>
      <c r="G131" s="151"/>
      <c r="H131" s="152"/>
      <c r="I131" s="114">
        <f>'①設計シート（同時使用率３F）'!I131</f>
        <v>0</v>
      </c>
      <c r="J131" s="18" t="str">
        <f>IF(I131&gt;10,"エラー　制限高超え","")</f>
        <v/>
      </c>
    </row>
    <row r="132" spans="1:11">
      <c r="A132" s="67"/>
      <c r="B132" s="14" t="s">
        <v>186</v>
      </c>
      <c r="C132" s="16"/>
      <c r="D132" s="15"/>
      <c r="E132" s="16"/>
      <c r="F132" s="16"/>
      <c r="G132" s="16"/>
      <c r="H132" s="17"/>
      <c r="I132" s="114">
        <f>'①設計シート（同時使用率３F）'!I132</f>
        <v>0</v>
      </c>
      <c r="J132" s="8"/>
      <c r="K132" s="8"/>
    </row>
    <row r="133" spans="1:11" ht="14.25" thickBot="1">
      <c r="A133" s="72"/>
      <c r="B133" s="135" t="s">
        <v>125</v>
      </c>
      <c r="C133" s="136"/>
      <c r="D133" s="136"/>
      <c r="E133" s="136"/>
      <c r="F133" s="136"/>
      <c r="G133" s="136"/>
      <c r="H133" s="137"/>
      <c r="I133" s="116" t="str">
        <f>IF(SUM(I109:I132),SUM(I109:I132)," ")</f>
        <v xml:space="preserve"> </v>
      </c>
    </row>
    <row r="135" spans="1:11">
      <c r="A135" t="s">
        <v>195</v>
      </c>
      <c r="C135" s="59" t="str">
        <f>I60</f>
        <v xml:space="preserve"> </v>
      </c>
      <c r="D135" s="8" t="s">
        <v>174</v>
      </c>
      <c r="F135" t="s">
        <v>197</v>
      </c>
      <c r="H135" s="59" t="str">
        <f>I104</f>
        <v xml:space="preserve"> </v>
      </c>
      <c r="I135" s="8" t="s">
        <v>174</v>
      </c>
    </row>
    <row r="136" spans="1:11">
      <c r="A136" s="145" t="s">
        <v>196</v>
      </c>
      <c r="C136" s="59" t="str">
        <f>I89</f>
        <v xml:space="preserve"> </v>
      </c>
      <c r="D136" s="8" t="s">
        <v>174</v>
      </c>
      <c r="F136" s="145" t="s">
        <v>198</v>
      </c>
      <c r="H136" s="59" t="str">
        <f>I133</f>
        <v xml:space="preserve"> </v>
      </c>
      <c r="I136" s="8" t="s">
        <v>174</v>
      </c>
    </row>
    <row r="137" spans="1:11">
      <c r="A137" s="177" t="s">
        <v>199</v>
      </c>
      <c r="C137" s="59" t="str">
        <f>IFERROR(C135+C136,"")</f>
        <v/>
      </c>
      <c r="D137" s="8" t="s">
        <v>72</v>
      </c>
      <c r="F137" s="177" t="s">
        <v>200</v>
      </c>
      <c r="H137" s="59" t="str">
        <f>IFERROR(H135+H136,"")</f>
        <v/>
      </c>
      <c r="I137" s="8" t="s">
        <v>202</v>
      </c>
    </row>
    <row r="138" spans="1:11">
      <c r="A138" s="145"/>
      <c r="C138" s="15"/>
      <c r="D138" s="8"/>
      <c r="F138" s="145"/>
      <c r="H138" s="10"/>
      <c r="I138" s="8"/>
    </row>
    <row r="139" spans="1:11">
      <c r="A139" t="s">
        <v>69</v>
      </c>
      <c r="C139" s="59">
        <f>IFERROR((MAX(C137,H137)),"")</f>
        <v>0</v>
      </c>
      <c r="D139" t="s">
        <v>72</v>
      </c>
    </row>
    <row r="140" spans="1:11">
      <c r="A140" t="s">
        <v>73</v>
      </c>
      <c r="C140" s="59">
        <f>IFERROR(ROUND(C139*0.0098,3),"")</f>
        <v>0</v>
      </c>
      <c r="D140" t="s">
        <v>74</v>
      </c>
      <c r="J140" s="8"/>
    </row>
    <row r="141" spans="1:11">
      <c r="B141" s="8"/>
      <c r="C141" s="16"/>
      <c r="D141" s="8"/>
      <c r="J141" s="8"/>
    </row>
    <row r="142" spans="1:11" ht="20.100000000000001" customHeight="1">
      <c r="A142" s="282" t="s">
        <v>70</v>
      </c>
      <c r="B142" s="283"/>
      <c r="C142" s="168" t="str">
        <f>IF(C140="","",IF(B34&gt;C140,"ＯＫ","ＮＧ"))</f>
        <v>ＮＧ</v>
      </c>
      <c r="D142" s="169" t="s">
        <v>71</v>
      </c>
      <c r="E142" s="173" t="str">
        <f>IF(C142="","",IF(C142="ＯＫ","設定の管径とする","再設計が必要。"))</f>
        <v>再設計が必要。</v>
      </c>
      <c r="F142" s="61"/>
      <c r="G142" s="61"/>
      <c r="H142" s="61"/>
      <c r="I142" s="54"/>
    </row>
    <row r="143" spans="1:11" ht="20.100000000000001" customHeight="1">
      <c r="A143" s="63"/>
      <c r="B143" s="170" t="s">
        <v>78</v>
      </c>
      <c r="C143" s="171">
        <f>MAX(F49:F130)</f>
        <v>0</v>
      </c>
      <c r="D143" s="169" t="s">
        <v>173</v>
      </c>
      <c r="E143" s="172" t="str">
        <f>IF(C143=0,"",IF(C143&gt;2,"ウォータハンマが発生する可能性があります。","問題なし"))</f>
        <v/>
      </c>
      <c r="F143" s="46"/>
      <c r="G143" s="46"/>
      <c r="H143" s="46"/>
      <c r="I143" s="46"/>
    </row>
    <row r="147" spans="10:10">
      <c r="J147" s="45"/>
    </row>
    <row r="148" spans="10:10">
      <c r="J148" s="45"/>
    </row>
    <row r="150" spans="10:10">
      <c r="J150" s="46"/>
    </row>
  </sheetData>
  <sheetProtection formatCells="0" selectLockedCells="1" selectUnlockedCells="1"/>
  <mergeCells count="93">
    <mergeCell ref="A47:A48"/>
    <mergeCell ref="B47:C48"/>
    <mergeCell ref="E2:F2"/>
    <mergeCell ref="G2:I2"/>
    <mergeCell ref="E3:F3"/>
    <mergeCell ref="G3:I3"/>
    <mergeCell ref="A8:A9"/>
    <mergeCell ref="F8:F9"/>
    <mergeCell ref="F31:F32"/>
    <mergeCell ref="G31:G32"/>
    <mergeCell ref="H31:H32"/>
    <mergeCell ref="D31:E31"/>
    <mergeCell ref="B52:C52"/>
    <mergeCell ref="D38:G38"/>
    <mergeCell ref="D39:E39"/>
    <mergeCell ref="D40:E40"/>
    <mergeCell ref="D44:E44"/>
    <mergeCell ref="J47:J48"/>
    <mergeCell ref="K47:K48"/>
    <mergeCell ref="B49:C49"/>
    <mergeCell ref="B50:C50"/>
    <mergeCell ref="B51:C51"/>
    <mergeCell ref="B66:C66"/>
    <mergeCell ref="B53:C53"/>
    <mergeCell ref="B54:C54"/>
    <mergeCell ref="B55:C55"/>
    <mergeCell ref="B56:C56"/>
    <mergeCell ref="B57:C57"/>
    <mergeCell ref="B58:C58"/>
    <mergeCell ref="B59:C59"/>
    <mergeCell ref="A60:H60"/>
    <mergeCell ref="A63:A64"/>
    <mergeCell ref="B63:C64"/>
    <mergeCell ref="B65:C65"/>
    <mergeCell ref="B78:C78"/>
    <mergeCell ref="B67:C67"/>
    <mergeCell ref="B68:C68"/>
    <mergeCell ref="B69:C69"/>
    <mergeCell ref="B70:C70"/>
    <mergeCell ref="B71:C71"/>
    <mergeCell ref="B72:C72"/>
    <mergeCell ref="B73:C73"/>
    <mergeCell ref="B74:C74"/>
    <mergeCell ref="B75:C75"/>
    <mergeCell ref="B76:C76"/>
    <mergeCell ref="B77:C77"/>
    <mergeCell ref="B93:C93"/>
    <mergeCell ref="B79:C79"/>
    <mergeCell ref="B80:C80"/>
    <mergeCell ref="B81:C81"/>
    <mergeCell ref="B82:C82"/>
    <mergeCell ref="B83:C83"/>
    <mergeCell ref="B84:C84"/>
    <mergeCell ref="B85:C85"/>
    <mergeCell ref="A91:A92"/>
    <mergeCell ref="B91:C92"/>
    <mergeCell ref="J91:J92"/>
    <mergeCell ref="K91:K92"/>
    <mergeCell ref="A107:A108"/>
    <mergeCell ref="B107:C108"/>
    <mergeCell ref="B94:C94"/>
    <mergeCell ref="B95:C95"/>
    <mergeCell ref="B96:C96"/>
    <mergeCell ref="B97:C97"/>
    <mergeCell ref="B98:C98"/>
    <mergeCell ref="B99:C99"/>
    <mergeCell ref="B100:C100"/>
    <mergeCell ref="B101:C101"/>
    <mergeCell ref="B102:C102"/>
    <mergeCell ref="B103:C103"/>
    <mergeCell ref="A104:H104"/>
    <mergeCell ref="B120:C120"/>
    <mergeCell ref="B109:C109"/>
    <mergeCell ref="B110:C110"/>
    <mergeCell ref="B111:C111"/>
    <mergeCell ref="B112:C112"/>
    <mergeCell ref="B113:C113"/>
    <mergeCell ref="B114:C114"/>
    <mergeCell ref="B115:C115"/>
    <mergeCell ref="B116:C116"/>
    <mergeCell ref="B117:C117"/>
    <mergeCell ref="B118:C118"/>
    <mergeCell ref="B119:C119"/>
    <mergeCell ref="B127:C127"/>
    <mergeCell ref="B128:C128"/>
    <mergeCell ref="B129:C129"/>
    <mergeCell ref="A142:B142"/>
    <mergeCell ref="B121:C121"/>
    <mergeCell ref="B122:C122"/>
    <mergeCell ref="B123:C123"/>
    <mergeCell ref="B124:C124"/>
    <mergeCell ref="B125:C125"/>
    <mergeCell ref="B126:C126"/>
  </mergeCells>
  <phoneticPr fontId="1"/>
  <conditionalFormatting sqref="G10:G25">
    <cfRule type="colorScale" priority="1">
      <colorScale>
        <cfvo type="min"/>
        <cfvo type="max"/>
        <color theme="0"/>
        <color theme="0"/>
      </colorScale>
    </cfRule>
    <cfRule type="colorScale" priority="2">
      <colorScale>
        <cfvo type="min"/>
        <cfvo type="max"/>
        <color theme="0"/>
        <color theme="0"/>
      </colorScale>
    </cfRule>
    <cfRule type="expression" dxfId="0" priority="3">
      <formula>$C10&gt;0</formula>
    </cfRule>
  </conditionalFormatting>
  <dataValidations disablePrompts="1" count="1">
    <dataValidation type="list" allowBlank="1" showInputMessage="1" showErrorMessage="1" sqref="A109:A129">
      <formula1>$A$49:$A$59</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&amp;R&amp;"-,斜体"&amp;8③居住人数から同時使用水量を算定(3F)</oddHeader>
  </headerFooter>
  <rowBreaks count="2" manualBreakCount="2">
    <brk id="45" max="8" man="1"/>
    <brk id="89" max="8"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表!$F$5:$F$11</xm:f>
          </x14:formula1>
          <xm:sqref>D65:D85 D109:D129</xm:sqref>
        </x14:dataValidation>
        <x14:dataValidation type="list" allowBlank="1" showInputMessage="1" showErrorMessage="1">
          <x14:formula1>
            <xm:f>表!$E$5:$E$12</xm:f>
          </x14:formula1>
          <xm:sqref>D49:D59 D93:D103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4"/>
  <sheetViews>
    <sheetView workbookViewId="0">
      <selection activeCell="A47" sqref="A47"/>
    </sheetView>
  </sheetViews>
  <sheetFormatPr defaultRowHeight="13.5"/>
  <cols>
    <col min="1" max="1" width="15.625" customWidth="1"/>
  </cols>
  <sheetData>
    <row r="1" spans="1:1">
      <c r="A1" t="s">
        <v>232</v>
      </c>
    </row>
    <row r="2" spans="1:1">
      <c r="A2" t="s">
        <v>303</v>
      </c>
    </row>
    <row r="3" spans="1:1">
      <c r="A3" t="s">
        <v>304</v>
      </c>
    </row>
    <row r="18" spans="1:4">
      <c r="A18" t="s">
        <v>233</v>
      </c>
    </row>
    <row r="19" spans="1:4">
      <c r="A19" t="s">
        <v>303</v>
      </c>
    </row>
    <row r="20" spans="1:4">
      <c r="A20" t="s">
        <v>305</v>
      </c>
    </row>
    <row r="21" spans="1:4">
      <c r="A21" s="2" t="s">
        <v>19</v>
      </c>
      <c r="B21" s="314" t="s">
        <v>20</v>
      </c>
      <c r="C21" s="314"/>
      <c r="D21" s="314"/>
    </row>
    <row r="22" spans="1:4">
      <c r="A22" s="20">
        <v>1</v>
      </c>
      <c r="B22" s="312">
        <v>1</v>
      </c>
      <c r="C22" s="312"/>
      <c r="D22" s="312"/>
    </row>
    <row r="23" spans="1:4">
      <c r="A23" s="20" t="s">
        <v>22</v>
      </c>
      <c r="B23" s="312">
        <v>2</v>
      </c>
      <c r="C23" s="312"/>
      <c r="D23" s="312"/>
    </row>
    <row r="24" spans="1:4">
      <c r="A24" s="20" t="s">
        <v>21</v>
      </c>
      <c r="B24" s="312">
        <v>3</v>
      </c>
      <c r="C24" s="312"/>
      <c r="D24" s="312"/>
    </row>
    <row r="25" spans="1:4">
      <c r="A25" s="20" t="s">
        <v>23</v>
      </c>
      <c r="B25" s="312">
        <v>4</v>
      </c>
      <c r="C25" s="312"/>
      <c r="D25" s="312"/>
    </row>
    <row r="26" spans="1:4">
      <c r="A26" s="20" t="s">
        <v>24</v>
      </c>
      <c r="B26" s="312">
        <v>5</v>
      </c>
      <c r="C26" s="312"/>
      <c r="D26" s="312"/>
    </row>
    <row r="27" spans="1:4">
      <c r="A27" s="20" t="s">
        <v>25</v>
      </c>
      <c r="B27" s="312">
        <v>6</v>
      </c>
      <c r="C27" s="312"/>
      <c r="D27" s="312"/>
    </row>
    <row r="28" spans="1:4">
      <c r="A28" s="189"/>
      <c r="B28" s="189"/>
      <c r="C28" s="189"/>
      <c r="D28" s="189"/>
    </row>
    <row r="29" spans="1:4">
      <c r="A29" s="193" t="s">
        <v>235</v>
      </c>
      <c r="B29" s="189"/>
      <c r="C29" s="189"/>
      <c r="D29" s="189"/>
    </row>
    <row r="30" spans="1:4">
      <c r="A30" t="s">
        <v>243</v>
      </c>
    </row>
    <row r="31" spans="1:4">
      <c r="A31" t="s">
        <v>234</v>
      </c>
    </row>
    <row r="32" spans="1:4">
      <c r="A32" s="24" t="s">
        <v>306</v>
      </c>
    </row>
    <row r="35" spans="1:1">
      <c r="A35" t="s">
        <v>241</v>
      </c>
    </row>
    <row r="36" spans="1:1">
      <c r="A36" t="s">
        <v>236</v>
      </c>
    </row>
    <row r="37" spans="1:1">
      <c r="A37" t="s">
        <v>302</v>
      </c>
    </row>
    <row r="38" spans="1:1">
      <c r="A38" t="s">
        <v>240</v>
      </c>
    </row>
    <row r="39" spans="1:1">
      <c r="A39" t="s">
        <v>242</v>
      </c>
    </row>
    <row r="40" spans="1:1">
      <c r="A40" t="s">
        <v>236</v>
      </c>
    </row>
    <row r="41" spans="1:1">
      <c r="A41" t="s">
        <v>239</v>
      </c>
    </row>
    <row r="42" spans="1:1">
      <c r="A42" t="s">
        <v>237</v>
      </c>
    </row>
    <row r="43" spans="1:1">
      <c r="A43" t="s">
        <v>238</v>
      </c>
    </row>
    <row r="45" spans="1:1">
      <c r="A45" t="s">
        <v>244</v>
      </c>
    </row>
    <row r="46" spans="1:1">
      <c r="A46" t="s">
        <v>307</v>
      </c>
    </row>
    <row r="64" spans="1:1">
      <c r="A64" t="s">
        <v>34</v>
      </c>
    </row>
    <row r="66" spans="1:5">
      <c r="A66" t="s">
        <v>35</v>
      </c>
    </row>
    <row r="67" spans="1:5">
      <c r="E67" t="s">
        <v>36</v>
      </c>
    </row>
    <row r="68" spans="1:5">
      <c r="E68" t="s">
        <v>40</v>
      </c>
    </row>
    <row r="69" spans="1:5">
      <c r="E69" t="s">
        <v>37</v>
      </c>
    </row>
    <row r="70" spans="1:5">
      <c r="E70" t="s">
        <v>38</v>
      </c>
    </row>
    <row r="71" spans="1:5">
      <c r="E71" t="s">
        <v>39</v>
      </c>
    </row>
    <row r="72" spans="1:5">
      <c r="A72" t="s">
        <v>139</v>
      </c>
    </row>
    <row r="73" spans="1:5">
      <c r="E73" t="s">
        <v>140</v>
      </c>
    </row>
    <row r="74" spans="1:5">
      <c r="E74" t="s">
        <v>141</v>
      </c>
    </row>
    <row r="75" spans="1:5">
      <c r="E75" t="s">
        <v>142</v>
      </c>
    </row>
    <row r="77" spans="1:5">
      <c r="A77" t="s">
        <v>41</v>
      </c>
    </row>
    <row r="78" spans="1:5">
      <c r="A78" t="s">
        <v>42</v>
      </c>
    </row>
    <row r="79" spans="1:5">
      <c r="A79" t="s">
        <v>143</v>
      </c>
    </row>
    <row r="98" spans="1:4">
      <c r="A98" t="s">
        <v>159</v>
      </c>
    </row>
    <row r="102" spans="1:4">
      <c r="B102" s="7"/>
      <c r="C102" s="21"/>
      <c r="D102" s="313"/>
    </row>
    <row r="103" spans="1:4">
      <c r="B103" s="7"/>
      <c r="C103" s="21"/>
      <c r="D103" s="313"/>
    </row>
    <row r="108" spans="1:4">
      <c r="A108" t="s">
        <v>160</v>
      </c>
    </row>
    <row r="154" spans="1:4">
      <c r="A154" s="8"/>
      <c r="B154" s="8"/>
      <c r="C154" s="8"/>
      <c r="D154" s="8"/>
    </row>
  </sheetData>
  <mergeCells count="8">
    <mergeCell ref="B27:D27"/>
    <mergeCell ref="D102:D103"/>
    <mergeCell ref="B21:D21"/>
    <mergeCell ref="B22:D22"/>
    <mergeCell ref="B23:D23"/>
    <mergeCell ref="B24:D24"/>
    <mergeCell ref="B25:D25"/>
    <mergeCell ref="B26:D26"/>
  </mergeCells>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J39"/>
  <sheetViews>
    <sheetView workbookViewId="0">
      <selection activeCell="D26" sqref="D26"/>
    </sheetView>
  </sheetViews>
  <sheetFormatPr defaultRowHeight="13.5"/>
  <cols>
    <col min="2" max="2" width="30.5" bestFit="1" customWidth="1"/>
  </cols>
  <sheetData>
    <row r="2" spans="2:10">
      <c r="B2" t="s">
        <v>87</v>
      </c>
    </row>
    <row r="4" spans="2:10">
      <c r="B4" s="33"/>
      <c r="C4" s="19">
        <v>13</v>
      </c>
      <c r="D4" s="19">
        <v>20</v>
      </c>
      <c r="E4" s="19">
        <v>25</v>
      </c>
      <c r="F4" s="19">
        <v>30</v>
      </c>
      <c r="G4" s="19">
        <v>40</v>
      </c>
      <c r="H4" s="19">
        <v>50</v>
      </c>
      <c r="I4" s="19">
        <v>75</v>
      </c>
    </row>
    <row r="5" spans="2:10">
      <c r="B5" s="33" t="s">
        <v>100</v>
      </c>
      <c r="C5" s="19">
        <v>3</v>
      </c>
      <c r="D5" s="19">
        <v>8</v>
      </c>
      <c r="E5" s="19">
        <v>8</v>
      </c>
      <c r="F5" s="19" t="s">
        <v>89</v>
      </c>
      <c r="G5" s="19" t="s">
        <v>89</v>
      </c>
      <c r="H5" s="19" t="s">
        <v>89</v>
      </c>
      <c r="I5" s="19" t="s">
        <v>89</v>
      </c>
    </row>
    <row r="6" spans="2:10">
      <c r="B6" s="36" t="s">
        <v>101</v>
      </c>
      <c r="C6" s="19">
        <v>2.4</v>
      </c>
      <c r="D6" s="19">
        <v>3.6</v>
      </c>
      <c r="E6" s="19">
        <v>4.5</v>
      </c>
      <c r="F6" s="19" t="s">
        <v>89</v>
      </c>
      <c r="G6" s="19" t="s">
        <v>89</v>
      </c>
      <c r="H6" s="19" t="s">
        <v>89</v>
      </c>
      <c r="I6" s="19" t="s">
        <v>89</v>
      </c>
    </row>
    <row r="7" spans="2:10">
      <c r="B7" s="35" t="s">
        <v>94</v>
      </c>
      <c r="C7" s="19">
        <v>0.5</v>
      </c>
      <c r="D7" s="19">
        <v>0.5</v>
      </c>
      <c r="E7" s="19">
        <v>0.5</v>
      </c>
      <c r="F7" s="19">
        <v>0.8</v>
      </c>
      <c r="G7" s="19">
        <v>0.8</v>
      </c>
      <c r="H7" s="19">
        <v>1.2</v>
      </c>
      <c r="I7" s="19" t="s">
        <v>89</v>
      </c>
    </row>
    <row r="8" spans="2:10">
      <c r="B8" s="35" t="s">
        <v>97</v>
      </c>
      <c r="C8" s="19" t="s">
        <v>89</v>
      </c>
      <c r="D8" s="19">
        <v>1.1000000000000001</v>
      </c>
      <c r="E8" s="19">
        <v>1</v>
      </c>
      <c r="F8" s="19">
        <v>1.3</v>
      </c>
      <c r="G8" s="19">
        <v>1.6</v>
      </c>
      <c r="H8" s="19">
        <v>2.1</v>
      </c>
      <c r="I8" s="19">
        <v>3.2</v>
      </c>
    </row>
    <row r="9" spans="2:10">
      <c r="B9" s="36" t="s">
        <v>146</v>
      </c>
      <c r="C9" s="23">
        <v>3</v>
      </c>
      <c r="D9" s="23">
        <v>3.1</v>
      </c>
      <c r="E9" s="23">
        <v>3.2</v>
      </c>
      <c r="F9" s="23">
        <v>3.6</v>
      </c>
      <c r="G9" s="23">
        <v>3.3</v>
      </c>
      <c r="H9" s="23">
        <v>3.3</v>
      </c>
      <c r="I9" s="23">
        <v>4.5999999999999996</v>
      </c>
    </row>
    <row r="10" spans="2:10">
      <c r="B10" s="35" t="s">
        <v>95</v>
      </c>
      <c r="C10" s="19">
        <v>0.5</v>
      </c>
      <c r="D10" s="19">
        <v>0.5</v>
      </c>
      <c r="E10" s="19">
        <v>1</v>
      </c>
      <c r="F10" s="19">
        <v>1</v>
      </c>
      <c r="G10" s="19">
        <v>1</v>
      </c>
      <c r="H10" s="19">
        <v>1.5</v>
      </c>
      <c r="I10" s="19" t="s">
        <v>89</v>
      </c>
    </row>
    <row r="11" spans="2:10">
      <c r="B11" s="35" t="s">
        <v>98</v>
      </c>
      <c r="C11" s="19" t="s">
        <v>89</v>
      </c>
      <c r="D11" s="19">
        <v>1.1000000000000001</v>
      </c>
      <c r="E11" s="19">
        <v>1.2</v>
      </c>
      <c r="F11" s="19" t="s">
        <v>89</v>
      </c>
      <c r="G11" s="19">
        <v>2</v>
      </c>
      <c r="H11" s="19">
        <v>2.6</v>
      </c>
      <c r="I11" s="19">
        <v>3.1</v>
      </c>
    </row>
    <row r="12" spans="2:10">
      <c r="B12" s="36" t="s">
        <v>147</v>
      </c>
      <c r="C12" s="23">
        <v>3.8</v>
      </c>
      <c r="D12" s="23">
        <v>3.8</v>
      </c>
      <c r="E12" s="23">
        <v>3.3</v>
      </c>
      <c r="F12" s="23">
        <v>4</v>
      </c>
      <c r="G12" s="23">
        <v>3.6</v>
      </c>
      <c r="H12" s="23">
        <v>3.5</v>
      </c>
      <c r="I12" s="23">
        <v>4.9000000000000004</v>
      </c>
    </row>
    <row r="13" spans="2:10">
      <c r="B13" s="35" t="s">
        <v>96</v>
      </c>
      <c r="C13" s="19" t="s">
        <v>89</v>
      </c>
      <c r="D13" s="19" t="s">
        <v>89</v>
      </c>
      <c r="E13" s="19" t="s">
        <v>89</v>
      </c>
      <c r="F13" s="19">
        <v>1</v>
      </c>
      <c r="G13" s="19">
        <v>1</v>
      </c>
      <c r="H13" s="19">
        <v>1.5</v>
      </c>
      <c r="I13" s="19" t="s">
        <v>89</v>
      </c>
    </row>
    <row r="14" spans="2:10">
      <c r="B14" s="35" t="s">
        <v>99</v>
      </c>
      <c r="C14" s="19" t="s">
        <v>89</v>
      </c>
      <c r="D14" s="19">
        <v>2.6</v>
      </c>
      <c r="E14" s="19">
        <v>2.4</v>
      </c>
      <c r="F14" s="19">
        <v>4</v>
      </c>
      <c r="G14" s="19">
        <v>3</v>
      </c>
      <c r="H14" s="19">
        <v>3.5</v>
      </c>
      <c r="I14" s="19" t="s">
        <v>89</v>
      </c>
    </row>
    <row r="15" spans="2:10">
      <c r="B15" s="36" t="s">
        <v>148</v>
      </c>
      <c r="C15" s="23" t="s">
        <v>89</v>
      </c>
      <c r="D15" s="23" t="s">
        <v>89</v>
      </c>
      <c r="E15" s="23" t="s">
        <v>89</v>
      </c>
      <c r="F15" s="23" t="s">
        <v>89</v>
      </c>
      <c r="G15" s="23" t="s">
        <v>89</v>
      </c>
      <c r="H15" s="23">
        <v>3.5</v>
      </c>
      <c r="I15" s="23">
        <v>4.9000000000000004</v>
      </c>
      <c r="J15" t="s">
        <v>149</v>
      </c>
    </row>
    <row r="16" spans="2:10">
      <c r="B16" s="35" t="s">
        <v>102</v>
      </c>
      <c r="C16" s="19">
        <v>3.5</v>
      </c>
      <c r="D16" s="19">
        <v>2.2999999999999998</v>
      </c>
      <c r="E16" s="19">
        <v>1.7</v>
      </c>
      <c r="F16" s="19">
        <v>1.3</v>
      </c>
      <c r="G16" s="19">
        <v>1.7</v>
      </c>
      <c r="H16" s="19">
        <v>1.9</v>
      </c>
      <c r="I16" s="19" t="s">
        <v>89</v>
      </c>
    </row>
    <row r="17" spans="2:9">
      <c r="B17" s="35" t="s">
        <v>103</v>
      </c>
      <c r="C17" s="19">
        <v>0.12</v>
      </c>
      <c r="D17" s="19">
        <v>0.15</v>
      </c>
      <c r="E17" s="19">
        <v>0.18</v>
      </c>
      <c r="F17" s="19">
        <v>0.24</v>
      </c>
      <c r="G17" s="19">
        <v>0.3</v>
      </c>
      <c r="H17" s="19">
        <v>0.39</v>
      </c>
      <c r="I17" s="19">
        <v>0.63</v>
      </c>
    </row>
    <row r="18" spans="2:9">
      <c r="B18" s="35" t="s">
        <v>104</v>
      </c>
      <c r="C18" s="19">
        <v>4.5</v>
      </c>
      <c r="D18" s="19">
        <v>6</v>
      </c>
      <c r="E18" s="19">
        <v>7.5</v>
      </c>
      <c r="F18" s="19">
        <v>10.5</v>
      </c>
      <c r="G18" s="19">
        <v>13.5</v>
      </c>
      <c r="H18" s="19">
        <v>16.5</v>
      </c>
      <c r="I18" s="19" t="s">
        <v>89</v>
      </c>
    </row>
    <row r="19" spans="2:9">
      <c r="B19" s="35" t="s">
        <v>105</v>
      </c>
      <c r="C19" s="19">
        <v>5.5</v>
      </c>
      <c r="D19" s="19">
        <v>2.7</v>
      </c>
      <c r="E19" s="19">
        <v>2.9</v>
      </c>
      <c r="F19" s="19">
        <v>3.2</v>
      </c>
      <c r="G19" s="19">
        <v>2.6</v>
      </c>
      <c r="H19" s="19">
        <v>3.7</v>
      </c>
      <c r="I19" s="19" t="s">
        <v>89</v>
      </c>
    </row>
    <row r="20" spans="2:9">
      <c r="B20" s="35" t="s">
        <v>106</v>
      </c>
      <c r="C20" s="19">
        <v>1.2</v>
      </c>
      <c r="D20" s="19">
        <v>1.6</v>
      </c>
      <c r="E20" s="19">
        <v>2</v>
      </c>
      <c r="F20" s="19">
        <v>2.5</v>
      </c>
      <c r="G20" s="19">
        <v>3.1</v>
      </c>
      <c r="H20" s="19">
        <v>4</v>
      </c>
      <c r="I20" s="19" t="s">
        <v>89</v>
      </c>
    </row>
    <row r="21" spans="2:9">
      <c r="B21" s="35" t="s">
        <v>107</v>
      </c>
      <c r="C21" s="19">
        <v>1.5</v>
      </c>
      <c r="D21" s="19">
        <v>3</v>
      </c>
      <c r="E21" s="19">
        <v>3.5</v>
      </c>
      <c r="F21" s="19">
        <v>5.5</v>
      </c>
      <c r="G21" s="19">
        <v>7.5</v>
      </c>
      <c r="H21" s="19">
        <v>8</v>
      </c>
      <c r="I21" s="19">
        <v>26</v>
      </c>
    </row>
    <row r="22" spans="2:9">
      <c r="B22" s="35" t="s">
        <v>108</v>
      </c>
      <c r="C22" s="19">
        <v>1.5</v>
      </c>
      <c r="D22" s="19">
        <v>2</v>
      </c>
      <c r="E22" s="19">
        <v>3</v>
      </c>
      <c r="F22" s="19">
        <v>3</v>
      </c>
      <c r="G22" s="19">
        <v>3</v>
      </c>
      <c r="H22" s="19">
        <v>3</v>
      </c>
      <c r="I22" s="19" t="s">
        <v>109</v>
      </c>
    </row>
    <row r="23" spans="2:9">
      <c r="B23" s="35" t="s">
        <v>110</v>
      </c>
      <c r="C23" s="19">
        <v>1.5</v>
      </c>
      <c r="D23" s="19">
        <v>2</v>
      </c>
      <c r="E23" s="19">
        <v>3</v>
      </c>
      <c r="F23" s="19">
        <v>3</v>
      </c>
      <c r="G23" s="19">
        <v>3</v>
      </c>
      <c r="H23" s="19">
        <v>3</v>
      </c>
      <c r="I23" s="19" t="s">
        <v>109</v>
      </c>
    </row>
    <row r="24" spans="2:9">
      <c r="B24" s="35" t="s">
        <v>56</v>
      </c>
      <c r="C24" s="19">
        <v>2.5</v>
      </c>
      <c r="D24" s="19">
        <v>2</v>
      </c>
      <c r="E24" s="19">
        <v>3</v>
      </c>
      <c r="F24" s="19">
        <v>5</v>
      </c>
      <c r="G24" s="19">
        <v>8</v>
      </c>
      <c r="H24" s="19">
        <v>12</v>
      </c>
      <c r="I24" s="19" t="s">
        <v>109</v>
      </c>
    </row>
    <row r="25" spans="2:9">
      <c r="B25" s="35" t="s">
        <v>88</v>
      </c>
      <c r="C25" s="19">
        <v>3.5</v>
      </c>
      <c r="D25" s="19">
        <v>9</v>
      </c>
      <c r="E25" s="19">
        <v>15</v>
      </c>
      <c r="F25" s="19">
        <v>17</v>
      </c>
      <c r="G25" s="19">
        <v>24</v>
      </c>
      <c r="H25" s="19">
        <v>25</v>
      </c>
      <c r="I25" s="19" t="s">
        <v>89</v>
      </c>
    </row>
    <row r="26" spans="2:9">
      <c r="B26" s="35" t="s">
        <v>90</v>
      </c>
      <c r="C26" s="19" t="s">
        <v>89</v>
      </c>
      <c r="D26" s="19">
        <v>4</v>
      </c>
      <c r="E26" s="19">
        <v>4</v>
      </c>
      <c r="F26" s="19">
        <v>6</v>
      </c>
      <c r="G26" s="19">
        <v>8</v>
      </c>
      <c r="H26" s="19">
        <v>14</v>
      </c>
      <c r="I26" s="19" t="s">
        <v>89</v>
      </c>
    </row>
    <row r="27" spans="2:9">
      <c r="B27" s="35" t="s">
        <v>91</v>
      </c>
      <c r="C27" s="19" t="s">
        <v>89</v>
      </c>
      <c r="D27" s="19" t="s">
        <v>89</v>
      </c>
      <c r="E27" s="19">
        <v>2</v>
      </c>
      <c r="F27" s="19">
        <v>4</v>
      </c>
      <c r="G27" s="19">
        <v>10</v>
      </c>
      <c r="H27" s="19">
        <v>15</v>
      </c>
      <c r="I27" s="19" t="s">
        <v>89</v>
      </c>
    </row>
    <row r="28" spans="2:9">
      <c r="B28" s="35" t="s">
        <v>92</v>
      </c>
      <c r="C28" s="19" t="s">
        <v>89</v>
      </c>
      <c r="D28" s="19" t="s">
        <v>89</v>
      </c>
      <c r="E28" s="19">
        <v>1.5</v>
      </c>
      <c r="F28" s="19" t="s">
        <v>89</v>
      </c>
      <c r="G28" s="19" t="s">
        <v>89</v>
      </c>
      <c r="H28" s="19">
        <v>3</v>
      </c>
      <c r="I28" s="19">
        <v>9</v>
      </c>
    </row>
    <row r="29" spans="2:9">
      <c r="B29" s="35" t="s">
        <v>93</v>
      </c>
      <c r="C29" s="19">
        <v>1.5</v>
      </c>
      <c r="D29" s="19" t="s">
        <v>89</v>
      </c>
      <c r="E29" s="19" t="s">
        <v>89</v>
      </c>
      <c r="F29" s="19" t="s">
        <v>89</v>
      </c>
      <c r="G29" s="19" t="s">
        <v>89</v>
      </c>
      <c r="H29" s="19" t="s">
        <v>89</v>
      </c>
      <c r="I29" s="19" t="s">
        <v>89</v>
      </c>
    </row>
    <row r="31" spans="2:9">
      <c r="B31" t="s">
        <v>111</v>
      </c>
    </row>
    <row r="32" spans="2:9">
      <c r="B32" s="34" t="s">
        <v>112</v>
      </c>
      <c r="C32" s="312" t="s">
        <v>113</v>
      </c>
      <c r="D32" s="312"/>
      <c r="E32" s="312" t="s">
        <v>114</v>
      </c>
      <c r="F32" s="312"/>
      <c r="G32" s="312"/>
      <c r="H32" s="312"/>
      <c r="I32" s="312"/>
    </row>
    <row r="33" spans="2:9">
      <c r="B33" s="34" t="s">
        <v>115</v>
      </c>
      <c r="C33" s="312">
        <v>1</v>
      </c>
      <c r="D33" s="312"/>
      <c r="E33" s="312" t="s">
        <v>116</v>
      </c>
      <c r="F33" s="312"/>
      <c r="G33" s="312"/>
      <c r="H33" s="312"/>
      <c r="I33" s="312"/>
    </row>
    <row r="34" spans="2:9">
      <c r="B34" s="12"/>
      <c r="C34" s="12"/>
      <c r="D34" s="12"/>
      <c r="E34" s="12"/>
      <c r="F34" s="12"/>
      <c r="G34" s="12"/>
      <c r="H34" s="12"/>
      <c r="I34" s="12"/>
    </row>
    <row r="35" spans="2:9">
      <c r="B35" t="s">
        <v>117</v>
      </c>
    </row>
    <row r="36" spans="2:9">
      <c r="B36" s="34" t="s">
        <v>112</v>
      </c>
      <c r="C36" s="312" t="s">
        <v>118</v>
      </c>
      <c r="D36" s="312"/>
      <c r="E36" s="268" t="s">
        <v>114</v>
      </c>
      <c r="F36" s="315"/>
      <c r="G36" s="315"/>
      <c r="H36" s="315"/>
      <c r="I36" s="316"/>
    </row>
    <row r="37" spans="2:9">
      <c r="B37" s="34" t="s">
        <v>119</v>
      </c>
      <c r="C37" s="312" t="s">
        <v>120</v>
      </c>
      <c r="D37" s="312"/>
      <c r="E37" s="312" t="s">
        <v>121</v>
      </c>
      <c r="F37" s="312"/>
      <c r="G37" s="312"/>
      <c r="H37" s="312"/>
      <c r="I37" s="312"/>
    </row>
    <row r="38" spans="2:9">
      <c r="B38" s="34" t="s">
        <v>122</v>
      </c>
      <c r="C38" s="312" t="s">
        <v>123</v>
      </c>
      <c r="D38" s="312"/>
      <c r="E38" s="312" t="s">
        <v>121</v>
      </c>
      <c r="F38" s="312"/>
      <c r="G38" s="312"/>
      <c r="H38" s="312"/>
      <c r="I38" s="312"/>
    </row>
    <row r="39" spans="2:9">
      <c r="B39" s="34" t="s">
        <v>124</v>
      </c>
      <c r="C39" s="312">
        <v>7</v>
      </c>
      <c r="D39" s="312"/>
      <c r="E39" s="312" t="s">
        <v>121</v>
      </c>
      <c r="F39" s="312"/>
      <c r="G39" s="312"/>
      <c r="H39" s="312"/>
      <c r="I39" s="312"/>
    </row>
  </sheetData>
  <mergeCells count="12">
    <mergeCell ref="C36:D36"/>
    <mergeCell ref="E36:I36"/>
    <mergeCell ref="C32:D32"/>
    <mergeCell ref="E32:I32"/>
    <mergeCell ref="C33:D33"/>
    <mergeCell ref="E33:I33"/>
    <mergeCell ref="C39:D39"/>
    <mergeCell ref="E39:I39"/>
    <mergeCell ref="C37:D37"/>
    <mergeCell ref="E37:I37"/>
    <mergeCell ref="C38:D38"/>
    <mergeCell ref="E38:I38"/>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①設計シート（同時使用率1・２F）</vt:lpstr>
      <vt:lpstr>②設計シート（戸数1・２F）</vt:lpstr>
      <vt:lpstr>③設計シート（居住人数1・２F）</vt:lpstr>
      <vt:lpstr>①設計シート（同時使用率３F）</vt:lpstr>
      <vt:lpstr>②設計シート（戸数３F）</vt:lpstr>
      <vt:lpstr>③設計シート（居住人数３F）</vt:lpstr>
      <vt:lpstr>参考</vt:lpstr>
      <vt:lpstr>直管換算表（参考）</vt:lpstr>
      <vt:lpstr>表</vt:lpstr>
      <vt:lpstr>更新履歴</vt:lpstr>
      <vt:lpstr>'①設計シート（同時使用率1・２F）'!Print_Area</vt:lpstr>
      <vt:lpstr>'①設計シート（同時使用率３F）'!Print_Area</vt:lpstr>
      <vt:lpstr>'②設計シート（戸数1・２F）'!Print_Area</vt:lpstr>
      <vt:lpstr>'②設計シート（戸数３F）'!Print_Area</vt:lpstr>
      <vt:lpstr>'③設計シート（居住人数1・２F）'!Print_Area</vt:lpstr>
      <vt:lpstr>'③設計シート（居住人数３F）'!Print_Area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前橋市水道局水道整備課</dc:creator>
  <cp:lastModifiedBy>201810</cp:lastModifiedBy>
  <cp:lastPrinted>2019-09-26T08:16:20Z</cp:lastPrinted>
  <dcterms:created xsi:type="dcterms:W3CDTF">2018-08-09T04:21:35Z</dcterms:created>
  <dcterms:modified xsi:type="dcterms:W3CDTF">2026-04-10T06:53:47Z</dcterms:modified>
</cp:coreProperties>
</file>